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charts/chart1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drawings/drawing26.xml" ContentType="application/vnd.openxmlformats-officedocument.drawingml.chartshapes+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harts/chartEx1.xml" ContentType="application/vnd.ms-office.chartex+xml"/>
  <Override PartName="/xl/charts/colors14.xml" ContentType="application/vnd.ms-office.chartcolorstyle+xml"/>
  <Override PartName="/xl/charts/style14.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2"/>
  <workbookPr/>
  <mc:AlternateContent xmlns:mc="http://schemas.openxmlformats.org/markup-compatibility/2006">
    <mc:Choice Requires="x15">
      <x15ac:absPath xmlns:x15ac="http://schemas.microsoft.com/office/spreadsheetml/2010/11/ac" url="C:\Users\cenv1145\Downloads\"/>
    </mc:Choice>
  </mc:AlternateContent>
  <xr:revisionPtr revIDLastSave="1" documentId="13_ncr:1_{CE6CE04F-1A99-4767-85B5-D0BF28C86189}" xr6:coauthVersionLast="47" xr6:coauthVersionMax="47" xr10:uidLastSave="{7B9F9EA9-F134-4CA7-B587-CE0DE26AE4BA}"/>
  <bookViews>
    <workbookView xWindow="-110" yWindow="-110" windowWidth="19420" windowHeight="10300" xr2:uid="{00000000-000D-0000-FFFF-FFFF00000000}"/>
  </bookViews>
  <sheets>
    <sheet name="Index " sheetId="1" r:id="rId1"/>
    <sheet name="S1_Water Statistics " sheetId="2" r:id="rId2"/>
    <sheet name="S2_UASB_Inventory " sheetId="3" r:id="rId3"/>
    <sheet name="S3_UASB_Pilot Costs " sheetId="10" r:id="rId4"/>
    <sheet name="S4_UASB_Up_Hyp" sheetId="13" r:id="rId5"/>
    <sheet name="S5_CW_Inventory" sheetId="5" r:id="rId6"/>
    <sheet name="S6_CW_Costs" sheetId="11" r:id="rId7"/>
    <sheet name="S7_CW_Emissions" sheetId="9" r:id="rId8"/>
    <sheet name="S8_MIPs_Inventory" sheetId="6" r:id="rId9"/>
    <sheet name="S9_MIPs_Costs" sheetId="12" r:id="rId10"/>
    <sheet name="S10_MIPs_Up_Hyp" sheetId="15" r:id="rId11"/>
    <sheet name="S11_Pilot Scale LCA" sheetId="20" r:id="rId12"/>
    <sheet name="S12_Upscaling Hypo_tomatoes" sheetId="7" r:id="rId13"/>
    <sheet name="S13_Water Balance " sheetId="23" r:id="rId14"/>
    <sheet name="S14_Upscaled LCA" sheetId="17" r:id="rId15"/>
    <sheet name="S15_Upscaled LCC_UASB+ACW" sheetId="25" r:id="rId16"/>
    <sheet name="S16_Upscaled LCC_MIPs" sheetId="24" r:id="rId17"/>
    <sheet name="S17_Upscaled LCC_BAU&amp;Tot" sheetId="26" r:id="rId18"/>
    <sheet name="S18_eLCC" sheetId="21" r:id="rId19"/>
    <sheet name="S19_Monte Carlo" sheetId="22" r:id="rId20"/>
  </sheets>
  <externalReferences>
    <externalReference r:id="rId21"/>
    <externalReference r:id="rId22"/>
    <externalReference r:id="rId23"/>
    <externalReference r:id="rId24"/>
    <externalReference r:id="rId25"/>
  </externalReferences>
  <definedNames>
    <definedName name="_xlnm._FilterDatabase" localSheetId="1" hidden="1">'S1_Water Statistics '!$A$1:$B$1</definedName>
    <definedName name="_xlchart.v6.0" hidden="1">'S1_Water Statistics '!$A$1</definedName>
    <definedName name="_xlchart.v6.1" hidden="1">'S1_Water Statistics '!$A$2:$A$24</definedName>
    <definedName name="_xlchart.v6.2" hidden="1">'S1_Water Statistics '!$B$1</definedName>
    <definedName name="_xlchart.v6.3" hidden="1">'S1_Water Statistics '!$B$2:$B$24</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 i="24" l="1"/>
  <c r="E4" i="26"/>
  <c r="F4" i="26"/>
  <c r="J4" i="26" s="1"/>
  <c r="I4" i="26"/>
  <c r="D5" i="26"/>
  <c r="H4" i="26" s="1"/>
  <c r="L5" i="26"/>
  <c r="E21" i="26"/>
  <c r="D21" i="26" s="1"/>
  <c r="D23" i="26"/>
  <c r="D25" i="26"/>
  <c r="D33" i="26"/>
  <c r="B7" i="26" s="1"/>
  <c r="E37" i="26"/>
  <c r="F37" i="26"/>
  <c r="G48" i="26"/>
  <c r="J48" i="26" s="1"/>
  <c r="N48" i="26"/>
  <c r="G49" i="26"/>
  <c r="J49" i="26"/>
  <c r="N49" i="26"/>
  <c r="G50" i="26"/>
  <c r="J50" i="26" s="1"/>
  <c r="N50" i="26"/>
  <c r="G51" i="26"/>
  <c r="J51" i="26" s="1"/>
  <c r="N51" i="26"/>
  <c r="G52" i="26"/>
  <c r="J52" i="26"/>
  <c r="N52" i="26"/>
  <c r="G53" i="26"/>
  <c r="J53" i="26" s="1"/>
  <c r="N53" i="26"/>
  <c r="G54" i="26"/>
  <c r="J54" i="26"/>
  <c r="N54" i="26"/>
  <c r="G55" i="26"/>
  <c r="J55" i="26"/>
  <c r="N55" i="26"/>
  <c r="G56" i="26"/>
  <c r="J56" i="26" s="1"/>
  <c r="N56" i="26"/>
  <c r="G57" i="26"/>
  <c r="J57" i="26" s="1"/>
  <c r="N57" i="26"/>
  <c r="G58" i="26"/>
  <c r="J58" i="26" s="1"/>
  <c r="N58" i="26"/>
  <c r="G59" i="26"/>
  <c r="J59" i="26" s="1"/>
  <c r="N59" i="26"/>
  <c r="G60" i="26"/>
  <c r="J60" i="26" s="1"/>
  <c r="N60" i="26"/>
  <c r="G61" i="26"/>
  <c r="J61" i="26" s="1"/>
  <c r="N61" i="26"/>
  <c r="G62" i="26"/>
  <c r="J62" i="26"/>
  <c r="N62" i="26"/>
  <c r="G63" i="26"/>
  <c r="J63" i="26"/>
  <c r="N63" i="26"/>
  <c r="G64" i="26"/>
  <c r="J64" i="26" s="1"/>
  <c r="N64" i="26"/>
  <c r="G65" i="26"/>
  <c r="J65" i="26" s="1"/>
  <c r="N65" i="26"/>
  <c r="G66" i="26"/>
  <c r="J66" i="26" s="1"/>
  <c r="N66" i="26"/>
  <c r="G67" i="26"/>
  <c r="J67" i="26" s="1"/>
  <c r="N67" i="26"/>
  <c r="G68" i="26"/>
  <c r="J68" i="26" s="1"/>
  <c r="N68" i="26"/>
  <c r="G69" i="26"/>
  <c r="J69" i="26" s="1"/>
  <c r="N69" i="26"/>
  <c r="G70" i="26"/>
  <c r="J70" i="26"/>
  <c r="N70" i="26"/>
  <c r="G71" i="26"/>
  <c r="J71" i="26" s="1"/>
  <c r="N71" i="26"/>
  <c r="G72" i="26"/>
  <c r="J72" i="26" s="1"/>
  <c r="N72" i="26"/>
  <c r="G73" i="26"/>
  <c r="J73" i="26" s="1"/>
  <c r="N73" i="26"/>
  <c r="G74" i="26"/>
  <c r="J74" i="26" s="1"/>
  <c r="N74" i="26"/>
  <c r="G75" i="26"/>
  <c r="J75" i="26" s="1"/>
  <c r="N75" i="26"/>
  <c r="G76" i="26"/>
  <c r="J76" i="26"/>
  <c r="N76" i="26"/>
  <c r="G77" i="26"/>
  <c r="J77" i="26"/>
  <c r="N77" i="26"/>
  <c r="L1" i="25"/>
  <c r="B4" i="25"/>
  <c r="F17" i="25"/>
  <c r="F26" i="25" s="1"/>
  <c r="E18" i="25"/>
  <c r="D18" i="25" s="1"/>
  <c r="F18" i="25"/>
  <c r="D20" i="25"/>
  <c r="D22" i="25"/>
  <c r="E34" i="25"/>
  <c r="F34" i="25"/>
  <c r="G34" i="25"/>
  <c r="E38" i="25"/>
  <c r="K74" i="25" s="1"/>
  <c r="F38" i="25"/>
  <c r="L74" i="25" s="1"/>
  <c r="G45" i="25"/>
  <c r="H45" i="25"/>
  <c r="J45" i="25"/>
  <c r="N45" i="25"/>
  <c r="O45" i="25"/>
  <c r="R45" i="25"/>
  <c r="G46" i="25"/>
  <c r="H46" i="25"/>
  <c r="J46" i="25"/>
  <c r="N46" i="25"/>
  <c r="O46" i="25"/>
  <c r="R46" i="25"/>
  <c r="G47" i="25"/>
  <c r="H47" i="25"/>
  <c r="J47" i="25"/>
  <c r="N47" i="25"/>
  <c r="G48" i="25"/>
  <c r="H48" i="25"/>
  <c r="J48" i="25"/>
  <c r="N48" i="25"/>
  <c r="G49" i="25"/>
  <c r="H49" i="25"/>
  <c r="J49" i="25"/>
  <c r="N49" i="25"/>
  <c r="G50" i="25"/>
  <c r="J50" i="25" s="1"/>
  <c r="H50" i="25"/>
  <c r="N50" i="25"/>
  <c r="G51" i="25"/>
  <c r="H51" i="25"/>
  <c r="N51" i="25"/>
  <c r="G52" i="25"/>
  <c r="H52" i="25"/>
  <c r="N52" i="25"/>
  <c r="G53" i="25"/>
  <c r="H53" i="25"/>
  <c r="N53" i="25"/>
  <c r="G54" i="25"/>
  <c r="J54" i="25" s="1"/>
  <c r="H54" i="25"/>
  <c r="N54" i="25"/>
  <c r="G55" i="25"/>
  <c r="H55" i="25"/>
  <c r="N55" i="25"/>
  <c r="G56" i="25"/>
  <c r="H56" i="25"/>
  <c r="N56" i="25"/>
  <c r="G57" i="25"/>
  <c r="H57" i="25"/>
  <c r="N57" i="25"/>
  <c r="G58" i="25"/>
  <c r="H58" i="25"/>
  <c r="N58" i="25"/>
  <c r="G59" i="25"/>
  <c r="H59" i="25"/>
  <c r="N59" i="25"/>
  <c r="G60" i="25"/>
  <c r="H60" i="25"/>
  <c r="N60" i="25"/>
  <c r="G61" i="25"/>
  <c r="H61" i="25"/>
  <c r="N61" i="25"/>
  <c r="G62" i="25"/>
  <c r="H62" i="25"/>
  <c r="N62" i="25"/>
  <c r="G63" i="25"/>
  <c r="H63" i="25"/>
  <c r="N63" i="25"/>
  <c r="G64" i="25"/>
  <c r="H64" i="25"/>
  <c r="N64" i="25"/>
  <c r="G65" i="25"/>
  <c r="H65" i="25"/>
  <c r="N65" i="25"/>
  <c r="G66" i="25"/>
  <c r="H66" i="25"/>
  <c r="N66" i="25"/>
  <c r="G67" i="25"/>
  <c r="H67" i="25"/>
  <c r="N67" i="25"/>
  <c r="G68" i="25"/>
  <c r="H68" i="25"/>
  <c r="J68" i="25"/>
  <c r="N68" i="25"/>
  <c r="G69" i="25"/>
  <c r="J69" i="25" s="1"/>
  <c r="H69" i="25"/>
  <c r="N69" i="25"/>
  <c r="G70" i="25"/>
  <c r="H70" i="25"/>
  <c r="N70" i="25"/>
  <c r="G71" i="25"/>
  <c r="H71" i="25"/>
  <c r="J71" i="25" s="1"/>
  <c r="N71" i="25"/>
  <c r="G72" i="25"/>
  <c r="H72" i="25"/>
  <c r="J72" i="25" s="1"/>
  <c r="N72" i="25"/>
  <c r="G73" i="25"/>
  <c r="J73" i="25" s="1"/>
  <c r="H73" i="25"/>
  <c r="N73" i="25"/>
  <c r="G74" i="25"/>
  <c r="H74" i="25"/>
  <c r="L74" i="24"/>
  <c r="K74" i="24"/>
  <c r="J74" i="24"/>
  <c r="I74" i="24"/>
  <c r="H74" i="24"/>
  <c r="T73" i="24"/>
  <c r="L73" i="24"/>
  <c r="K73" i="24"/>
  <c r="J73" i="24"/>
  <c r="I73" i="24"/>
  <c r="H73" i="24"/>
  <c r="T72" i="24"/>
  <c r="L72" i="24"/>
  <c r="K72" i="24"/>
  <c r="J72" i="24"/>
  <c r="I72" i="24"/>
  <c r="H72" i="24"/>
  <c r="T71" i="24"/>
  <c r="L71" i="24"/>
  <c r="K71" i="24"/>
  <c r="J71" i="24"/>
  <c r="I71" i="24"/>
  <c r="H71" i="24"/>
  <c r="T70" i="24"/>
  <c r="L70" i="24"/>
  <c r="K70" i="24"/>
  <c r="J70" i="24"/>
  <c r="I70" i="24"/>
  <c r="H70" i="24"/>
  <c r="T69" i="24"/>
  <c r="L69" i="24"/>
  <c r="K69" i="24"/>
  <c r="J69" i="24"/>
  <c r="I69" i="24"/>
  <c r="H69" i="24"/>
  <c r="T68" i="24"/>
  <c r="L68" i="24"/>
  <c r="K68" i="24"/>
  <c r="J68" i="24"/>
  <c r="I68" i="24"/>
  <c r="H68" i="24"/>
  <c r="T67" i="24"/>
  <c r="L67" i="24"/>
  <c r="K67" i="24"/>
  <c r="J67" i="24"/>
  <c r="I67" i="24"/>
  <c r="H67" i="24"/>
  <c r="T66" i="24"/>
  <c r="L66" i="24"/>
  <c r="K66" i="24"/>
  <c r="J66" i="24"/>
  <c r="I66" i="24"/>
  <c r="H66" i="24"/>
  <c r="T65" i="24"/>
  <c r="L65" i="24"/>
  <c r="K65" i="24"/>
  <c r="J65" i="24"/>
  <c r="I65" i="24"/>
  <c r="H65" i="24"/>
  <c r="T64" i="24"/>
  <c r="L64" i="24"/>
  <c r="K64" i="24"/>
  <c r="J64" i="24"/>
  <c r="I64" i="24"/>
  <c r="T63" i="24"/>
  <c r="L63" i="24"/>
  <c r="K63" i="24"/>
  <c r="J63" i="24"/>
  <c r="I63" i="24"/>
  <c r="T62" i="24"/>
  <c r="L62" i="24"/>
  <c r="K62" i="24"/>
  <c r="J62" i="24"/>
  <c r="I62" i="24"/>
  <c r="T61" i="24"/>
  <c r="L61" i="24"/>
  <c r="K61" i="24"/>
  <c r="J61" i="24"/>
  <c r="I61" i="24"/>
  <c r="T60" i="24"/>
  <c r="L60" i="24"/>
  <c r="K60" i="24"/>
  <c r="J60" i="24"/>
  <c r="I60" i="24"/>
  <c r="T59" i="24"/>
  <c r="L59" i="24"/>
  <c r="K59" i="24"/>
  <c r="J59" i="24"/>
  <c r="I59" i="24"/>
  <c r="T58" i="24"/>
  <c r="L58" i="24"/>
  <c r="K58" i="24"/>
  <c r="J58" i="24"/>
  <c r="I58" i="24"/>
  <c r="T57" i="24"/>
  <c r="L57" i="24"/>
  <c r="K57" i="24"/>
  <c r="J57" i="24"/>
  <c r="I57" i="24"/>
  <c r="T56" i="24"/>
  <c r="L56" i="24"/>
  <c r="K56" i="24"/>
  <c r="J56" i="24"/>
  <c r="I56" i="24"/>
  <c r="T55" i="24"/>
  <c r="L55" i="24"/>
  <c r="K55" i="24"/>
  <c r="J55" i="24"/>
  <c r="I55" i="24"/>
  <c r="T54" i="24"/>
  <c r="L54" i="24"/>
  <c r="K54" i="24"/>
  <c r="J54" i="24"/>
  <c r="I54" i="24"/>
  <c r="T53" i="24"/>
  <c r="L53" i="24"/>
  <c r="K53" i="24"/>
  <c r="J53" i="24"/>
  <c r="I53" i="24"/>
  <c r="T52" i="24"/>
  <c r="L52" i="24"/>
  <c r="K52" i="24"/>
  <c r="J52" i="24"/>
  <c r="I52" i="24"/>
  <c r="T51" i="24"/>
  <c r="L51" i="24"/>
  <c r="K51" i="24"/>
  <c r="J51" i="24"/>
  <c r="I51" i="24"/>
  <c r="T50" i="24"/>
  <c r="L50" i="24"/>
  <c r="K50" i="24"/>
  <c r="J50" i="24"/>
  <c r="I50" i="24"/>
  <c r="T49" i="24"/>
  <c r="L49" i="24"/>
  <c r="K49" i="24"/>
  <c r="J49" i="24"/>
  <c r="I49" i="24"/>
  <c r="T48" i="24"/>
  <c r="L48" i="24"/>
  <c r="K48" i="24"/>
  <c r="J48" i="24"/>
  <c r="I48" i="24"/>
  <c r="T47" i="24"/>
  <c r="L47" i="24"/>
  <c r="K47" i="24"/>
  <c r="J47" i="24"/>
  <c r="I47" i="24"/>
  <c r="T46" i="24"/>
  <c r="L46" i="24"/>
  <c r="K46" i="24"/>
  <c r="J46" i="24"/>
  <c r="I46" i="24"/>
  <c r="U45" i="24"/>
  <c r="U46" i="24" s="1"/>
  <c r="U47" i="24" s="1"/>
  <c r="U48" i="24" s="1"/>
  <c r="U49" i="24" s="1"/>
  <c r="U50" i="24" s="1"/>
  <c r="U51" i="24" s="1"/>
  <c r="U52" i="24" s="1"/>
  <c r="U53" i="24" s="1"/>
  <c r="U54" i="24" s="1"/>
  <c r="U55" i="24" s="1"/>
  <c r="U56" i="24" s="1"/>
  <c r="U57" i="24" s="1"/>
  <c r="U58" i="24" s="1"/>
  <c r="U59" i="24" s="1"/>
  <c r="U60" i="24" s="1"/>
  <c r="U61" i="24" s="1"/>
  <c r="U62" i="24" s="1"/>
  <c r="U63" i="24" s="1"/>
  <c r="U64" i="24" s="1"/>
  <c r="U65" i="24" s="1"/>
  <c r="U66" i="24" s="1"/>
  <c r="U67" i="24" s="1"/>
  <c r="U68" i="24" s="1"/>
  <c r="U69" i="24" s="1"/>
  <c r="U70" i="24" s="1"/>
  <c r="U71" i="24" s="1"/>
  <c r="U72" i="24" s="1"/>
  <c r="U73" i="24" s="1"/>
  <c r="U74" i="24" s="1"/>
  <c r="T45" i="24"/>
  <c r="L45" i="24"/>
  <c r="K45" i="24"/>
  <c r="J45" i="24"/>
  <c r="I45" i="24"/>
  <c r="G38" i="24"/>
  <c r="Q74" i="24" s="1"/>
  <c r="F38" i="24"/>
  <c r="P74" i="24" s="1"/>
  <c r="T74" i="24" s="1"/>
  <c r="G34" i="24"/>
  <c r="F34" i="24"/>
  <c r="E34" i="24"/>
  <c r="D22" i="24"/>
  <c r="D20" i="24"/>
  <c r="H18" i="24"/>
  <c r="H17" i="24" s="1"/>
  <c r="H26" i="24" s="1"/>
  <c r="F48" i="24" s="1"/>
  <c r="G18" i="24"/>
  <c r="G17" i="24" s="1"/>
  <c r="G26" i="24" s="1"/>
  <c r="F18" i="24"/>
  <c r="E18" i="24"/>
  <c r="E17" i="24" s="1"/>
  <c r="B4" i="24"/>
  <c r="N74" i="25" l="1"/>
  <c r="J67" i="25"/>
  <c r="J63" i="25"/>
  <c r="J59" i="25"/>
  <c r="J55" i="25"/>
  <c r="J65" i="25"/>
  <c r="J61" i="25"/>
  <c r="J57" i="25"/>
  <c r="J64" i="25"/>
  <c r="J56" i="25"/>
  <c r="J53" i="25"/>
  <c r="J74" i="25"/>
  <c r="J70" i="25"/>
  <c r="J66" i="25"/>
  <c r="J62" i="25"/>
  <c r="J58" i="25"/>
  <c r="J52" i="25"/>
  <c r="O47" i="25"/>
  <c r="J51" i="25"/>
  <c r="J60" i="25"/>
  <c r="N52" i="24"/>
  <c r="N64" i="24"/>
  <c r="N68" i="24"/>
  <c r="O48" i="26"/>
  <c r="O49" i="26" s="1"/>
  <c r="N46" i="24"/>
  <c r="N63" i="24"/>
  <c r="N61" i="24"/>
  <c r="N54" i="24"/>
  <c r="N59" i="24"/>
  <c r="N48" i="24"/>
  <c r="N53" i="24"/>
  <c r="E20" i="26"/>
  <c r="D45" i="25"/>
  <c r="D46" i="25"/>
  <c r="D47" i="25"/>
  <c r="D48" i="25"/>
  <c r="D49" i="25"/>
  <c r="D50" i="25"/>
  <c r="D51" i="25"/>
  <c r="D52" i="25"/>
  <c r="D53" i="25"/>
  <c r="D54" i="25"/>
  <c r="D55" i="25"/>
  <c r="D56" i="25"/>
  <c r="D57" i="25"/>
  <c r="D59" i="25"/>
  <c r="D58" i="25"/>
  <c r="D60" i="25"/>
  <c r="D61" i="25"/>
  <c r="D62" i="25"/>
  <c r="D63" i="25"/>
  <c r="D64" i="25"/>
  <c r="E17" i="25"/>
  <c r="N58" i="24"/>
  <c r="N70" i="24"/>
  <c r="N72" i="24"/>
  <c r="N74" i="24"/>
  <c r="D18" i="24"/>
  <c r="N57" i="24"/>
  <c r="N50" i="24"/>
  <c r="N62" i="24"/>
  <c r="N55" i="24"/>
  <c r="F17" i="24"/>
  <c r="F26" i="24" s="1"/>
  <c r="D59" i="24" s="1"/>
  <c r="N47" i="24"/>
  <c r="N49" i="24"/>
  <c r="N60" i="24"/>
  <c r="N51" i="24"/>
  <c r="N65" i="24"/>
  <c r="N66" i="24"/>
  <c r="N56" i="24"/>
  <c r="N69" i="24"/>
  <c r="N71" i="24"/>
  <c r="N73" i="24"/>
  <c r="E52" i="24"/>
  <c r="E56" i="24"/>
  <c r="E51" i="24"/>
  <c r="E62" i="24"/>
  <c r="E63" i="24"/>
  <c r="E45" i="24"/>
  <c r="E54" i="24"/>
  <c r="E47" i="24"/>
  <c r="E60" i="24"/>
  <c r="E58" i="24"/>
  <c r="E49" i="24"/>
  <c r="E55" i="24"/>
  <c r="E53" i="24"/>
  <c r="E64" i="24"/>
  <c r="E59" i="24"/>
  <c r="F63" i="24"/>
  <c r="F45" i="24"/>
  <c r="F47" i="24"/>
  <c r="F53" i="24"/>
  <c r="F56" i="24"/>
  <c r="F54" i="24"/>
  <c r="F55" i="24"/>
  <c r="F60" i="24"/>
  <c r="F58" i="24"/>
  <c r="F51" i="24"/>
  <c r="F49" i="24"/>
  <c r="F62" i="24"/>
  <c r="F64" i="24"/>
  <c r="F46" i="24"/>
  <c r="F57" i="24"/>
  <c r="E61" i="24"/>
  <c r="E26" i="24"/>
  <c r="E46" i="24"/>
  <c r="F52" i="24"/>
  <c r="F61" i="24"/>
  <c r="F59" i="24"/>
  <c r="E50" i="24"/>
  <c r="F50" i="24"/>
  <c r="N67" i="24"/>
  <c r="N45" i="24"/>
  <c r="E48" i="24"/>
  <c r="E57" i="24"/>
  <c r="Q49" i="26" l="1"/>
  <c r="O48" i="25"/>
  <c r="R47" i="25"/>
  <c r="Q48" i="26"/>
  <c r="D45" i="24"/>
  <c r="W45" i="24" s="1"/>
  <c r="D61" i="24"/>
  <c r="O50" i="26"/>
  <c r="E29" i="26"/>
  <c r="D20" i="26"/>
  <c r="Q50" i="26"/>
  <c r="E26" i="25"/>
  <c r="D17" i="25"/>
  <c r="Q45" i="25"/>
  <c r="Q46" i="25"/>
  <c r="Q47" i="25"/>
  <c r="Q48" i="25"/>
  <c r="D53" i="24"/>
  <c r="D48" i="24"/>
  <c r="D56" i="24"/>
  <c r="D64" i="24"/>
  <c r="D46" i="24"/>
  <c r="D63" i="24"/>
  <c r="D51" i="24"/>
  <c r="D17" i="24"/>
  <c r="D47" i="24"/>
  <c r="D54" i="24"/>
  <c r="D52" i="24"/>
  <c r="D50" i="24"/>
  <c r="D55" i="24"/>
  <c r="D49" i="24"/>
  <c r="D58" i="24"/>
  <c r="D57" i="24"/>
  <c r="D60" i="24"/>
  <c r="D62" i="24"/>
  <c r="C50" i="24"/>
  <c r="C48" i="24"/>
  <c r="H48" i="24" s="1"/>
  <c r="C52" i="24"/>
  <c r="C61" i="24"/>
  <c r="H61" i="24" s="1"/>
  <c r="C59" i="24"/>
  <c r="H59" i="24" s="1"/>
  <c r="D26" i="24"/>
  <c r="C63" i="24"/>
  <c r="C45" i="24"/>
  <c r="C56" i="24"/>
  <c r="H56" i="24" s="1"/>
  <c r="C54" i="24"/>
  <c r="C47" i="24"/>
  <c r="C60" i="24"/>
  <c r="C58" i="24"/>
  <c r="C51" i="24"/>
  <c r="C49" i="24"/>
  <c r="H49" i="24" s="1"/>
  <c r="C62" i="24"/>
  <c r="H62" i="24" s="1"/>
  <c r="C57" i="24"/>
  <c r="C53" i="24"/>
  <c r="C64" i="24"/>
  <c r="C55" i="24"/>
  <c r="C46" i="24"/>
  <c r="Y69" i="24"/>
  <c r="Y63" i="24"/>
  <c r="Y45" i="24"/>
  <c r="Y47" i="24"/>
  <c r="Y73" i="24"/>
  <c r="Y55" i="24"/>
  <c r="Y68" i="24"/>
  <c r="Y56" i="24"/>
  <c r="Y54" i="24"/>
  <c r="Y67" i="24"/>
  <c r="Y74" i="24"/>
  <c r="H8" i="24" s="1"/>
  <c r="Y66" i="24"/>
  <c r="Y60" i="24"/>
  <c r="Y58" i="24"/>
  <c r="Y65" i="24"/>
  <c r="Y51" i="24"/>
  <c r="Y49" i="24"/>
  <c r="Y62" i="24"/>
  <c r="Y53" i="24"/>
  <c r="Y72" i="24"/>
  <c r="Y64" i="24"/>
  <c r="Y46" i="24"/>
  <c r="Y71" i="24"/>
  <c r="Y57" i="24"/>
  <c r="Y59" i="24"/>
  <c r="Y52" i="24"/>
  <c r="Y70" i="24"/>
  <c r="Y48" i="24"/>
  <c r="Y61" i="24"/>
  <c r="Y50" i="24"/>
  <c r="X52" i="24"/>
  <c r="X54" i="24"/>
  <c r="X65" i="24"/>
  <c r="X49" i="24"/>
  <c r="X46" i="24"/>
  <c r="X69" i="24"/>
  <c r="X63" i="24"/>
  <c r="X45" i="24"/>
  <c r="X68" i="24"/>
  <c r="X56" i="24"/>
  <c r="X67" i="24"/>
  <c r="X47" i="24"/>
  <c r="X74" i="24"/>
  <c r="G8" i="24" s="1"/>
  <c r="X66" i="24"/>
  <c r="X60" i="24"/>
  <c r="X58" i="24"/>
  <c r="X51" i="24"/>
  <c r="X62" i="24"/>
  <c r="X73" i="24"/>
  <c r="X55" i="24"/>
  <c r="X53" i="24"/>
  <c r="X72" i="24"/>
  <c r="X64" i="24"/>
  <c r="X71" i="24"/>
  <c r="X59" i="24"/>
  <c r="X61" i="24"/>
  <c r="X50" i="24"/>
  <c r="X70" i="24"/>
  <c r="X57" i="24"/>
  <c r="X48" i="24"/>
  <c r="R48" i="25" l="1"/>
  <c r="O49" i="25"/>
  <c r="W48" i="24"/>
  <c r="W46" i="24"/>
  <c r="H58" i="24"/>
  <c r="H60" i="24"/>
  <c r="H57" i="24"/>
  <c r="W74" i="24"/>
  <c r="F8" i="24" s="1"/>
  <c r="H51" i="24"/>
  <c r="H53" i="24"/>
  <c r="C50" i="26"/>
  <c r="F50" i="26" s="1"/>
  <c r="C64" i="26"/>
  <c r="F64" i="26" s="1"/>
  <c r="C52" i="26"/>
  <c r="F52" i="26" s="1"/>
  <c r="C51" i="26"/>
  <c r="F51" i="26" s="1"/>
  <c r="D29" i="26"/>
  <c r="C59" i="26"/>
  <c r="F59" i="26" s="1"/>
  <c r="C54" i="26"/>
  <c r="F54" i="26" s="1"/>
  <c r="C48" i="26"/>
  <c r="C65" i="26"/>
  <c r="F65" i="26" s="1"/>
  <c r="C49" i="26"/>
  <c r="F49" i="26" s="1"/>
  <c r="C63" i="26"/>
  <c r="F63" i="26" s="1"/>
  <c r="C67" i="26"/>
  <c r="F67" i="26" s="1"/>
  <c r="C53" i="26"/>
  <c r="F53" i="26" s="1"/>
  <c r="C57" i="26"/>
  <c r="F57" i="26" s="1"/>
  <c r="C61" i="26"/>
  <c r="F61" i="26" s="1"/>
  <c r="C60" i="26"/>
  <c r="F60" i="26" s="1"/>
  <c r="C55" i="26"/>
  <c r="F55" i="26" s="1"/>
  <c r="C58" i="26"/>
  <c r="F58" i="26" s="1"/>
  <c r="C62" i="26"/>
  <c r="F62" i="26" s="1"/>
  <c r="C66" i="26"/>
  <c r="F66" i="26" s="1"/>
  <c r="C56" i="26"/>
  <c r="F56" i="26" s="1"/>
  <c r="O51" i="26"/>
  <c r="Q51" i="26"/>
  <c r="C45" i="25"/>
  <c r="C49" i="25"/>
  <c r="F49" i="25" s="1"/>
  <c r="C50" i="25"/>
  <c r="F50" i="25" s="1"/>
  <c r="C51" i="25"/>
  <c r="F51" i="25" s="1"/>
  <c r="C52" i="25"/>
  <c r="F52" i="25" s="1"/>
  <c r="C53" i="25"/>
  <c r="F53" i="25" s="1"/>
  <c r="C54" i="25"/>
  <c r="F54" i="25" s="1"/>
  <c r="D26" i="25"/>
  <c r="C55" i="25"/>
  <c r="F55" i="25" s="1"/>
  <c r="C56" i="25"/>
  <c r="F56" i="25" s="1"/>
  <c r="C57" i="25"/>
  <c r="F57" i="25" s="1"/>
  <c r="C58" i="25"/>
  <c r="F58" i="25" s="1"/>
  <c r="C59" i="25"/>
  <c r="F59" i="25" s="1"/>
  <c r="C60" i="25"/>
  <c r="F60" i="25" s="1"/>
  <c r="C61" i="25"/>
  <c r="F61" i="25" s="1"/>
  <c r="C62" i="25"/>
  <c r="F62" i="25" s="1"/>
  <c r="C63" i="25"/>
  <c r="F63" i="25" s="1"/>
  <c r="C64" i="25"/>
  <c r="F64" i="25" s="1"/>
  <c r="C47" i="25"/>
  <c r="F47" i="25" s="1"/>
  <c r="C48" i="25"/>
  <c r="F48" i="25" s="1"/>
  <c r="C46" i="25"/>
  <c r="F46" i="25" s="1"/>
  <c r="W59" i="24"/>
  <c r="W53" i="24"/>
  <c r="W68" i="24"/>
  <c r="W56" i="24"/>
  <c r="W49" i="24"/>
  <c r="H64" i="24"/>
  <c r="H63" i="24"/>
  <c r="W55" i="24"/>
  <c r="W64" i="24"/>
  <c r="W65" i="24"/>
  <c r="W52" i="24"/>
  <c r="H52" i="24"/>
  <c r="W69" i="24"/>
  <c r="W72" i="24"/>
  <c r="W73" i="24"/>
  <c r="W62" i="24"/>
  <c r="W58" i="24"/>
  <c r="H47" i="24"/>
  <c r="W71" i="24"/>
  <c r="W67" i="24"/>
  <c r="W61" i="24"/>
  <c r="H54" i="24"/>
  <c r="W50" i="24"/>
  <c r="W54" i="24"/>
  <c r="H46" i="24"/>
  <c r="W63" i="24"/>
  <c r="W60" i="24"/>
  <c r="W57" i="24"/>
  <c r="W66" i="24"/>
  <c r="W51" i="24"/>
  <c r="H50" i="24"/>
  <c r="W47" i="24"/>
  <c r="W70" i="24"/>
  <c r="H55" i="24"/>
  <c r="V70" i="24"/>
  <c r="V50" i="24"/>
  <c r="V48" i="24"/>
  <c r="V67" i="24"/>
  <c r="V47" i="24"/>
  <c r="V66" i="24"/>
  <c r="V60" i="24"/>
  <c r="AA60" i="24" s="1"/>
  <c r="V58" i="24"/>
  <c r="V61" i="24"/>
  <c r="V59" i="24"/>
  <c r="V52" i="24"/>
  <c r="V69" i="24"/>
  <c r="V63" i="24"/>
  <c r="V45" i="24"/>
  <c r="AA45" i="24" s="1"/>
  <c r="V68" i="24"/>
  <c r="V56" i="24"/>
  <c r="V54" i="24"/>
  <c r="V74" i="24"/>
  <c r="V65" i="24"/>
  <c r="V51" i="24"/>
  <c r="AA51" i="24" s="1"/>
  <c r="V49" i="24"/>
  <c r="V62" i="24"/>
  <c r="H45" i="24"/>
  <c r="V57" i="24"/>
  <c r="V73" i="24"/>
  <c r="V55" i="24"/>
  <c r="V46" i="24"/>
  <c r="AA46" i="24" s="1"/>
  <c r="V71" i="24"/>
  <c r="V72" i="24"/>
  <c r="V53" i="24"/>
  <c r="V64" i="24"/>
  <c r="O50" i="25" l="1"/>
  <c r="R49" i="25"/>
  <c r="Q50" i="25"/>
  <c r="Q49" i="25"/>
  <c r="AA48" i="24"/>
  <c r="AA62" i="24"/>
  <c r="AA49" i="24"/>
  <c r="AB49" i="24" s="1"/>
  <c r="AC49" i="24" s="1"/>
  <c r="AA58" i="24"/>
  <c r="AA55" i="24"/>
  <c r="AA73" i="24"/>
  <c r="AA63" i="24"/>
  <c r="AA70" i="24"/>
  <c r="AA69" i="24"/>
  <c r="AB69" i="24" s="1"/>
  <c r="AC69" i="24" s="1"/>
  <c r="AA59" i="24"/>
  <c r="AB59" i="24" s="1"/>
  <c r="AC59" i="24" s="1"/>
  <c r="AA53" i="24"/>
  <c r="AA72" i="24"/>
  <c r="P48" i="26"/>
  <c r="S48" i="26" s="1"/>
  <c r="F48" i="26"/>
  <c r="P51" i="26"/>
  <c r="S51" i="26" s="1"/>
  <c r="P50" i="26"/>
  <c r="S50" i="26" s="1"/>
  <c r="P49" i="26"/>
  <c r="S49" i="26" s="1"/>
  <c r="O52" i="26"/>
  <c r="F45" i="25"/>
  <c r="P45" i="25"/>
  <c r="S45" i="25" s="1"/>
  <c r="P46" i="25"/>
  <c r="S46" i="25" s="1"/>
  <c r="P47" i="25"/>
  <c r="S47" i="25" s="1"/>
  <c r="P48" i="25"/>
  <c r="S48" i="25" s="1"/>
  <c r="P49" i="25"/>
  <c r="P50" i="25"/>
  <c r="AA61" i="24"/>
  <c r="AA64" i="24"/>
  <c r="AB64" i="24" s="1"/>
  <c r="AC64" i="24" s="1"/>
  <c r="AA65" i="24"/>
  <c r="AA54" i="24"/>
  <c r="AB54" i="24" s="1"/>
  <c r="AC54" i="24" s="1"/>
  <c r="AA56" i="24"/>
  <c r="AA68" i="24"/>
  <c r="AA66" i="24"/>
  <c r="AA47" i="24"/>
  <c r="AA71" i="24"/>
  <c r="AA67" i="24"/>
  <c r="AA50" i="24"/>
  <c r="AA57" i="24"/>
  <c r="AA52" i="24"/>
  <c r="E8" i="24"/>
  <c r="AA74" i="24"/>
  <c r="AB74" i="24" s="1"/>
  <c r="AC74" i="24" s="1"/>
  <c r="S49" i="25" l="1"/>
  <c r="T49" i="25" s="1"/>
  <c r="U49" i="25" s="1"/>
  <c r="O51" i="25"/>
  <c r="R51" i="25"/>
  <c r="R50" i="25"/>
  <c r="S50" i="25" s="1"/>
  <c r="O53" i="26"/>
  <c r="Q53" i="26" s="1"/>
  <c r="P52" i="26"/>
  <c r="Q52" i="26"/>
  <c r="J8" i="24"/>
  <c r="O52" i="25" l="1"/>
  <c r="Q52" i="25"/>
  <c r="P52" i="25"/>
  <c r="P51" i="25"/>
  <c r="S51" i="25" s="1"/>
  <c r="Q51" i="25"/>
  <c r="S52" i="26"/>
  <c r="T52" i="26" s="1"/>
  <c r="U52" i="26" s="1"/>
  <c r="O54" i="26"/>
  <c r="P53" i="26"/>
  <c r="S53" i="26" s="1"/>
  <c r="L8" i="24"/>
  <c r="F10" i="24"/>
  <c r="G10" i="24"/>
  <c r="H10" i="24"/>
  <c r="E10" i="24"/>
  <c r="O53" i="25" l="1"/>
  <c r="R52" i="25"/>
  <c r="S52" i="25" s="1"/>
  <c r="O55" i="26"/>
  <c r="P55" i="26"/>
  <c r="Q55" i="26"/>
  <c r="Q54" i="26"/>
  <c r="P54" i="26"/>
  <c r="S54" i="26" s="1"/>
  <c r="K10" i="24"/>
  <c r="O54" i="25" l="1"/>
  <c r="P54" i="25"/>
  <c r="R54" i="25"/>
  <c r="Q54" i="25"/>
  <c r="P53" i="25"/>
  <c r="Q53" i="25"/>
  <c r="R53" i="25"/>
  <c r="S55" i="26"/>
  <c r="O56" i="26"/>
  <c r="F6" i="23"/>
  <c r="A21" i="22"/>
  <c r="B21" i="22"/>
  <c r="A22" i="22"/>
  <c r="B22" i="22"/>
  <c r="A23" i="22"/>
  <c r="B23" i="22"/>
  <c r="A24" i="22"/>
  <c r="B24" i="22"/>
  <c r="A25" i="22"/>
  <c r="B25" i="22"/>
  <c r="A26" i="22"/>
  <c r="B26" i="22"/>
  <c r="A27" i="22"/>
  <c r="B27" i="22"/>
  <c r="A28" i="22"/>
  <c r="B28" i="22"/>
  <c r="A29" i="22"/>
  <c r="B29" i="22"/>
  <c r="A30" i="22"/>
  <c r="B30" i="22"/>
  <c r="A31" i="22"/>
  <c r="B31" i="22"/>
  <c r="A32" i="22"/>
  <c r="B32" i="22"/>
  <c r="A33" i="22"/>
  <c r="B33" i="22"/>
  <c r="A34" i="22"/>
  <c r="B34" i="22"/>
  <c r="A35" i="22"/>
  <c r="B35" i="22"/>
  <c r="A36" i="22"/>
  <c r="B36" i="22"/>
  <c r="M25" i="17"/>
  <c r="M22" i="17"/>
  <c r="M19" i="17"/>
  <c r="M16" i="17"/>
  <c r="M13" i="17"/>
  <c r="M10" i="17"/>
  <c r="M7" i="17"/>
  <c r="M4" i="17"/>
  <c r="C41" i="17"/>
  <c r="C42" i="17"/>
  <c r="C43" i="17"/>
  <c r="C44" i="17"/>
  <c r="C45" i="17"/>
  <c r="C46" i="17"/>
  <c r="C47" i="17"/>
  <c r="C48" i="17"/>
  <c r="C49" i="17"/>
  <c r="C50" i="17"/>
  <c r="C51" i="17"/>
  <c r="C52" i="17"/>
  <c r="C53" i="17"/>
  <c r="C54" i="17"/>
  <c r="C55" i="17"/>
  <c r="C40" i="17"/>
  <c r="C22" i="17"/>
  <c r="C23" i="17"/>
  <c r="C24" i="17"/>
  <c r="C25" i="17"/>
  <c r="C26" i="17"/>
  <c r="C27" i="17"/>
  <c r="C28" i="17"/>
  <c r="C29" i="17"/>
  <c r="C30" i="17"/>
  <c r="C31" i="17"/>
  <c r="C32" i="17"/>
  <c r="C33" i="17"/>
  <c r="C34" i="17"/>
  <c r="C35" i="17"/>
  <c r="C36" i="17"/>
  <c r="C21" i="17"/>
  <c r="M24" i="17"/>
  <c r="C3" i="17"/>
  <c r="C4" i="17"/>
  <c r="C5" i="17"/>
  <c r="C6" i="17"/>
  <c r="C7" i="17"/>
  <c r="C8" i="17"/>
  <c r="C9" i="17"/>
  <c r="C10" i="17"/>
  <c r="C11" i="17"/>
  <c r="C12" i="17"/>
  <c r="C13" i="17"/>
  <c r="C14" i="17"/>
  <c r="C15" i="17"/>
  <c r="C16" i="17"/>
  <c r="C17" i="17"/>
  <c r="C2" i="17"/>
  <c r="L2" i="17"/>
  <c r="K2" i="17"/>
  <c r="J2" i="17"/>
  <c r="M18" i="17"/>
  <c r="M21" i="17"/>
  <c r="M15" i="17"/>
  <c r="M12" i="17"/>
  <c r="M9" i="17"/>
  <c r="M6" i="17"/>
  <c r="M3" i="17"/>
  <c r="L23" i="17"/>
  <c r="L20" i="17"/>
  <c r="L17" i="17"/>
  <c r="L8" i="17"/>
  <c r="L14" i="17"/>
  <c r="L11" i="17"/>
  <c r="L5" i="17"/>
  <c r="G7" i="7"/>
  <c r="F2" i="7"/>
  <c r="B4" i="23"/>
  <c r="B6" i="23" s="1"/>
  <c r="G6" i="7"/>
  <c r="E17" i="22"/>
  <c r="C17" i="22"/>
  <c r="E16" i="22"/>
  <c r="C16" i="22"/>
  <c r="E15" i="22"/>
  <c r="C15" i="22"/>
  <c r="E14" i="22"/>
  <c r="C14" i="22"/>
  <c r="E13" i="22"/>
  <c r="C13" i="22"/>
  <c r="E12" i="22"/>
  <c r="C12" i="22"/>
  <c r="E11" i="22"/>
  <c r="C11" i="22"/>
  <c r="E10" i="22"/>
  <c r="C10" i="22"/>
  <c r="E9" i="22"/>
  <c r="C9" i="22"/>
  <c r="E8" i="22"/>
  <c r="C8" i="22"/>
  <c r="E7" i="22"/>
  <c r="C7" i="22"/>
  <c r="E6" i="22"/>
  <c r="C6" i="22"/>
  <c r="E5" i="22"/>
  <c r="C5" i="22"/>
  <c r="E4" i="22"/>
  <c r="C4" i="22"/>
  <c r="E3" i="22"/>
  <c r="C3" i="22"/>
  <c r="E2" i="22"/>
  <c r="C2" i="22"/>
  <c r="S54" i="25" l="1"/>
  <c r="T54" i="25" s="1"/>
  <c r="U54" i="25" s="1"/>
  <c r="S53" i="25"/>
  <c r="O55" i="25"/>
  <c r="R55" i="25"/>
  <c r="O57" i="26"/>
  <c r="Q57" i="26"/>
  <c r="Q56" i="26"/>
  <c r="P57" i="26"/>
  <c r="P56" i="26"/>
  <c r="S56" i="26" s="1"/>
  <c r="N2" i="17"/>
  <c r="P2" i="17" s="1"/>
  <c r="F10" i="23"/>
  <c r="F9" i="23"/>
  <c r="F8" i="23"/>
  <c r="B8" i="23"/>
  <c r="B10" i="23"/>
  <c r="B9" i="23"/>
  <c r="O56" i="25" l="1"/>
  <c r="P55" i="25"/>
  <c r="S55" i="25" s="1"/>
  <c r="Q55" i="25"/>
  <c r="P56" i="25"/>
  <c r="Q56" i="25"/>
  <c r="S57" i="26"/>
  <c r="T57" i="26" s="1"/>
  <c r="U57" i="26" s="1"/>
  <c r="O58" i="26"/>
  <c r="C1" i="21"/>
  <c r="A1" i="21"/>
  <c r="B1" i="21"/>
  <c r="A2" i="21"/>
  <c r="B2" i="21"/>
  <c r="A3" i="21"/>
  <c r="B3" i="21"/>
  <c r="A4" i="21"/>
  <c r="B4" i="21"/>
  <c r="A5" i="21"/>
  <c r="B5" i="21"/>
  <c r="A6" i="21"/>
  <c r="B6" i="21"/>
  <c r="A7" i="21"/>
  <c r="B7" i="21"/>
  <c r="A8" i="21"/>
  <c r="B8" i="21"/>
  <c r="A9" i="21"/>
  <c r="B9" i="21"/>
  <c r="A10" i="21"/>
  <c r="B10" i="21"/>
  <c r="A11" i="21"/>
  <c r="B11" i="21"/>
  <c r="A12" i="21"/>
  <c r="B12" i="21"/>
  <c r="A13" i="21"/>
  <c r="B13" i="21"/>
  <c r="A14" i="21"/>
  <c r="B14" i="21"/>
  <c r="A15" i="21"/>
  <c r="B15" i="21"/>
  <c r="A16" i="21"/>
  <c r="B16" i="21"/>
  <c r="A17" i="21"/>
  <c r="B17" i="21"/>
  <c r="A18" i="21"/>
  <c r="B18" i="21"/>
  <c r="A19" i="21"/>
  <c r="B19" i="21"/>
  <c r="A20" i="21"/>
  <c r="B20" i="21"/>
  <c r="A21" i="21"/>
  <c r="B21" i="21"/>
  <c r="A22" i="21"/>
  <c r="B22" i="21"/>
  <c r="A23" i="21"/>
  <c r="B23" i="21"/>
  <c r="A24" i="21"/>
  <c r="B24" i="21"/>
  <c r="A25" i="21"/>
  <c r="B25" i="21"/>
  <c r="K19" i="17"/>
  <c r="K13" i="17"/>
  <c r="K16" i="17"/>
  <c r="K22" i="17"/>
  <c r="K25" i="17"/>
  <c r="J25" i="17"/>
  <c r="J22" i="17"/>
  <c r="J19" i="17"/>
  <c r="J16" i="17"/>
  <c r="J13" i="17"/>
  <c r="K15" i="17"/>
  <c r="K21" i="17"/>
  <c r="K18" i="17"/>
  <c r="K24" i="17"/>
  <c r="J24" i="17"/>
  <c r="J21" i="17"/>
  <c r="J18" i="17"/>
  <c r="J15" i="17"/>
  <c r="K12" i="17"/>
  <c r="J12" i="17"/>
  <c r="K23" i="17"/>
  <c r="J23" i="17"/>
  <c r="K20" i="17"/>
  <c r="J20" i="17"/>
  <c r="K17" i="17"/>
  <c r="J17" i="17"/>
  <c r="K14" i="17"/>
  <c r="J14" i="17"/>
  <c r="K11" i="17"/>
  <c r="J11" i="17"/>
  <c r="K10" i="17"/>
  <c r="J10" i="17"/>
  <c r="K9" i="17"/>
  <c r="J9" i="17"/>
  <c r="K8" i="17"/>
  <c r="J8" i="17"/>
  <c r="K7" i="17"/>
  <c r="J7" i="17"/>
  <c r="K6" i="17"/>
  <c r="K5" i="17"/>
  <c r="J5" i="17"/>
  <c r="J6" i="17"/>
  <c r="K4" i="17"/>
  <c r="J4" i="17"/>
  <c r="K3" i="17"/>
  <c r="J3" i="17"/>
  <c r="H39" i="20"/>
  <c r="G39" i="20"/>
  <c r="D39" i="20"/>
  <c r="F37" i="20"/>
  <c r="D37" i="20"/>
  <c r="E35" i="20"/>
  <c r="D35" i="20"/>
  <c r="C35" i="20"/>
  <c r="G2" i="7"/>
  <c r="O57" i="25" l="1"/>
  <c r="R56" i="25"/>
  <c r="S56" i="25" s="1"/>
  <c r="Q57" i="25"/>
  <c r="O59" i="26"/>
  <c r="Q58" i="26"/>
  <c r="P58" i="26"/>
  <c r="S58" i="26" s="1"/>
  <c r="P59" i="26"/>
  <c r="N10" i="17"/>
  <c r="P10" i="17" s="1"/>
  <c r="N20" i="17"/>
  <c r="P20" i="17" s="1"/>
  <c r="N19" i="17"/>
  <c r="P19" i="17" s="1"/>
  <c r="N13" i="17"/>
  <c r="P13" i="17" s="1"/>
  <c r="N4" i="17"/>
  <c r="P4" i="17" s="1"/>
  <c r="N8" i="17"/>
  <c r="P8" i="17" s="1"/>
  <c r="N14" i="17"/>
  <c r="P14" i="17" s="1"/>
  <c r="N21" i="17"/>
  <c r="P21" i="17" s="1"/>
  <c r="N22" i="17"/>
  <c r="P22" i="17" s="1"/>
  <c r="N3" i="17"/>
  <c r="C3" i="21" s="1"/>
  <c r="D3" i="21" s="1"/>
  <c r="N7" i="17"/>
  <c r="N11" i="17"/>
  <c r="P11" i="17" s="1"/>
  <c r="N23" i="17"/>
  <c r="P23" i="17" s="1"/>
  <c r="N17" i="17"/>
  <c r="N5" i="17"/>
  <c r="N16" i="17"/>
  <c r="P16" i="17" s="1"/>
  <c r="N25" i="17"/>
  <c r="P25" i="17" s="1"/>
  <c r="N24" i="17"/>
  <c r="P24" i="17" s="1"/>
  <c r="N12" i="17"/>
  <c r="N6" i="17"/>
  <c r="P6" i="17" s="1"/>
  <c r="N9" i="17"/>
  <c r="N15" i="17"/>
  <c r="N18" i="17"/>
  <c r="C8" i="21"/>
  <c r="F8" i="21" s="1"/>
  <c r="C20" i="21"/>
  <c r="E20" i="21" s="1"/>
  <c r="C2" i="21"/>
  <c r="D2" i="21" s="1"/>
  <c r="C19" i="21"/>
  <c r="D56" i="6"/>
  <c r="D40" i="6"/>
  <c r="D41" i="6"/>
  <c r="D42" i="6"/>
  <c r="D43" i="6"/>
  <c r="D44" i="6"/>
  <c r="D45" i="6"/>
  <c r="D46" i="6"/>
  <c r="D47" i="6"/>
  <c r="D48" i="6"/>
  <c r="D49" i="6"/>
  <c r="D50" i="6"/>
  <c r="D51" i="6"/>
  <c r="D52" i="6"/>
  <c r="D39" i="6"/>
  <c r="D36" i="6"/>
  <c r="D32" i="6"/>
  <c r="D34" i="6"/>
  <c r="D33" i="6"/>
  <c r="E29" i="6"/>
  <c r="D25" i="6"/>
  <c r="D10" i="6"/>
  <c r="D11" i="6"/>
  <c r="D12" i="6"/>
  <c r="D13" i="6"/>
  <c r="D14" i="6"/>
  <c r="D15" i="6"/>
  <c r="D16" i="6"/>
  <c r="D17" i="6"/>
  <c r="D18" i="6"/>
  <c r="D19" i="6"/>
  <c r="D20" i="6"/>
  <c r="D21" i="6"/>
  <c r="D22" i="6"/>
  <c r="F1" i="6"/>
  <c r="D9" i="6"/>
  <c r="D6" i="6"/>
  <c r="C1" i="6"/>
  <c r="D1" i="3"/>
  <c r="D54" i="3"/>
  <c r="D44" i="3"/>
  <c r="D45" i="3"/>
  <c r="D46" i="3"/>
  <c r="D47" i="3"/>
  <c r="D43" i="3"/>
  <c r="D42" i="3"/>
  <c r="D38" i="3"/>
  <c r="D37" i="3"/>
  <c r="D36" i="3"/>
  <c r="D35" i="3"/>
  <c r="D33" i="3"/>
  <c r="D34" i="3"/>
  <c r="D32" i="3"/>
  <c r="D31" i="3"/>
  <c r="D28" i="3"/>
  <c r="D29" i="3"/>
  <c r="D24" i="3"/>
  <c r="C23" i="3"/>
  <c r="D14" i="3"/>
  <c r="D10" i="3"/>
  <c r="D9" i="3"/>
  <c r="D8" i="3"/>
  <c r="D6" i="3"/>
  <c r="D5" i="3"/>
  <c r="C1" i="3"/>
  <c r="D15" i="3" s="1"/>
  <c r="D6" i="5"/>
  <c r="D37" i="5"/>
  <c r="D36" i="5"/>
  <c r="D56" i="5"/>
  <c r="D51" i="5"/>
  <c r="D52" i="5"/>
  <c r="D50" i="5"/>
  <c r="D38" i="5"/>
  <c r="D39" i="5"/>
  <c r="D40" i="5"/>
  <c r="D41" i="5"/>
  <c r="D42" i="5"/>
  <c r="D43" i="5"/>
  <c r="D44" i="5"/>
  <c r="D45" i="5"/>
  <c r="D46" i="5"/>
  <c r="D47" i="5"/>
  <c r="D4" i="5"/>
  <c r="D5" i="5"/>
  <c r="D33" i="5"/>
  <c r="D17" i="5"/>
  <c r="D1" i="5"/>
  <c r="D18" i="5" s="1"/>
  <c r="B16" i="9"/>
  <c r="D3" i="9"/>
  <c r="C39" i="6"/>
  <c r="C37" i="5"/>
  <c r="C17" i="5"/>
  <c r="C36" i="5"/>
  <c r="C50" i="5" s="1"/>
  <c r="O58" i="25" l="1"/>
  <c r="R57" i="25"/>
  <c r="P57" i="25"/>
  <c r="S57" i="25" s="1"/>
  <c r="O60" i="26"/>
  <c r="Q59" i="26"/>
  <c r="S59" i="26" s="1"/>
  <c r="C4" i="21"/>
  <c r="E4" i="21" s="1"/>
  <c r="C13" i="21"/>
  <c r="E13" i="21" s="1"/>
  <c r="C14" i="21"/>
  <c r="F14" i="21" s="1"/>
  <c r="I36" i="17"/>
  <c r="C23" i="21"/>
  <c r="E23" i="21" s="1"/>
  <c r="C21" i="21"/>
  <c r="F21" i="21" s="1"/>
  <c r="E14" i="21"/>
  <c r="D20" i="21"/>
  <c r="J34" i="17"/>
  <c r="C22" i="21"/>
  <c r="E22" i="21" s="1"/>
  <c r="F20" i="21"/>
  <c r="D8" i="21"/>
  <c r="C12" i="21"/>
  <c r="F12" i="21" s="1"/>
  <c r="P12" i="17"/>
  <c r="C7" i="21"/>
  <c r="E7" i="21" s="1"/>
  <c r="P7" i="17"/>
  <c r="I30" i="17"/>
  <c r="P3" i="17"/>
  <c r="C18" i="21"/>
  <c r="D18" i="21" s="1"/>
  <c r="P18" i="17"/>
  <c r="C5" i="21"/>
  <c r="F5" i="21" s="1"/>
  <c r="P5" i="17"/>
  <c r="C6" i="21"/>
  <c r="F6" i="21" s="1"/>
  <c r="C11" i="21"/>
  <c r="F11" i="21" s="1"/>
  <c r="C15" i="21"/>
  <c r="F15" i="21" s="1"/>
  <c r="P15" i="17"/>
  <c r="C17" i="21"/>
  <c r="E17" i="21" s="1"/>
  <c r="P17" i="17"/>
  <c r="C9" i="21"/>
  <c r="D9" i="21" s="1"/>
  <c r="P9" i="17"/>
  <c r="C25" i="21"/>
  <c r="E25" i="21" s="1"/>
  <c r="C16" i="21"/>
  <c r="F16" i="21" s="1"/>
  <c r="C24" i="21"/>
  <c r="F24" i="21" s="1"/>
  <c r="I33" i="17"/>
  <c r="I34" i="17"/>
  <c r="E8" i="21"/>
  <c r="F9" i="21"/>
  <c r="F3" i="21"/>
  <c r="E3" i="21"/>
  <c r="F2" i="21"/>
  <c r="F4" i="21"/>
  <c r="E2" i="21"/>
  <c r="J37" i="17"/>
  <c r="J35" i="17"/>
  <c r="I37" i="17"/>
  <c r="J30" i="17"/>
  <c r="I35" i="17"/>
  <c r="J33" i="17"/>
  <c r="J36" i="17"/>
  <c r="J32" i="17"/>
  <c r="I32" i="17"/>
  <c r="F13" i="21"/>
  <c r="D13" i="21"/>
  <c r="I31" i="17"/>
  <c r="D4" i="21"/>
  <c r="J31" i="17"/>
  <c r="C10" i="21"/>
  <c r="D22" i="21"/>
  <c r="E19" i="21"/>
  <c r="F19" i="21"/>
  <c r="D19" i="21"/>
  <c r="E21" i="21"/>
  <c r="D21" i="21"/>
  <c r="D13" i="3"/>
  <c r="D18" i="3"/>
  <c r="D4" i="3"/>
  <c r="D17" i="3"/>
  <c r="D7" i="3"/>
  <c r="D16" i="3"/>
  <c r="D8" i="5"/>
  <c r="D7" i="5"/>
  <c r="D14" i="5"/>
  <c r="D13" i="5"/>
  <c r="D12" i="5"/>
  <c r="D11" i="5"/>
  <c r="D20" i="5"/>
  <c r="D10" i="5"/>
  <c r="D19" i="5"/>
  <c r="D9" i="5"/>
  <c r="O59" i="25" l="1"/>
  <c r="R58" i="25"/>
  <c r="Q58" i="25"/>
  <c r="P58" i="25"/>
  <c r="S58" i="25" s="1"/>
  <c r="P59" i="25"/>
  <c r="O61" i="26"/>
  <c r="Q60" i="26"/>
  <c r="P60" i="26"/>
  <c r="S60" i="26" s="1"/>
  <c r="D7" i="21"/>
  <c r="E12" i="21"/>
  <c r="E18" i="21"/>
  <c r="D14" i="21"/>
  <c r="D23" i="21"/>
  <c r="F23" i="21"/>
  <c r="F25" i="21"/>
  <c r="D11" i="21"/>
  <c r="F22" i="21"/>
  <c r="D12" i="21"/>
  <c r="E5" i="21"/>
  <c r="D5" i="21"/>
  <c r="E9" i="21"/>
  <c r="D6" i="21"/>
  <c r="D25" i="21"/>
  <c r="F7" i="21"/>
  <c r="E6" i="21"/>
  <c r="F18" i="21"/>
  <c r="D15" i="21"/>
  <c r="E15" i="21"/>
  <c r="D24" i="21"/>
  <c r="E11" i="21"/>
  <c r="E24" i="21"/>
  <c r="D17" i="21"/>
  <c r="F17" i="21"/>
  <c r="D16" i="21"/>
  <c r="E16" i="21"/>
  <c r="E10" i="21"/>
  <c r="D10" i="21"/>
  <c r="F10" i="21"/>
  <c r="D2" i="7"/>
  <c r="D3" i="7"/>
  <c r="D4" i="7"/>
  <c r="G3" i="7"/>
  <c r="F3" i="7" s="1"/>
  <c r="G4" i="7"/>
  <c r="F4" i="7" s="1"/>
  <c r="C48" i="3"/>
  <c r="L45" i="3" s="1"/>
  <c r="L46" i="3"/>
  <c r="O60" i="25" l="1"/>
  <c r="R59" i="25"/>
  <c r="Q59" i="25"/>
  <c r="S59" i="25" s="1"/>
  <c r="T59" i="25" s="1"/>
  <c r="U59" i="25" s="1"/>
  <c r="O62" i="26"/>
  <c r="Q61" i="26"/>
  <c r="P61" i="26"/>
  <c r="L47" i="3"/>
  <c r="K45" i="3" s="1"/>
  <c r="K46" i="3"/>
  <c r="K47" i="3" s="1"/>
  <c r="C47" i="6"/>
  <c r="C46" i="6"/>
  <c r="C45" i="6"/>
  <c r="C42" i="6"/>
  <c r="C41" i="6"/>
  <c r="C40" i="6"/>
  <c r="C49" i="6" s="1"/>
  <c r="C53" i="6" s="1"/>
  <c r="C43" i="6"/>
  <c r="C33" i="6"/>
  <c r="C56" i="6" s="1"/>
  <c r="C54" i="3"/>
  <c r="C44" i="3"/>
  <c r="C42" i="3"/>
  <c r="C47" i="15"/>
  <c r="C46" i="15"/>
  <c r="E45" i="15"/>
  <c r="E47" i="15" s="1"/>
  <c r="D52" i="15" s="1"/>
  <c r="D36" i="15"/>
  <c r="D37" i="15" s="1"/>
  <c r="D38" i="15" s="1"/>
  <c r="D50" i="15" s="1"/>
  <c r="D33" i="15"/>
  <c r="N28" i="15"/>
  <c r="L30" i="15" s="1"/>
  <c r="L31" i="15" s="1"/>
  <c r="L32" i="15" s="1"/>
  <c r="N27" i="15"/>
  <c r="N26" i="15"/>
  <c r="C26" i="15"/>
  <c r="C27" i="15" s="1"/>
  <c r="D21" i="15"/>
  <c r="D20" i="15"/>
  <c r="L19" i="15"/>
  <c r="L18" i="15"/>
  <c r="L17" i="15"/>
  <c r="F14" i="15"/>
  <c r="F8" i="15"/>
  <c r="F6" i="15"/>
  <c r="M4" i="15" s="1"/>
  <c r="E51" i="6"/>
  <c r="E50" i="6"/>
  <c r="C20" i="6"/>
  <c r="C52" i="6"/>
  <c r="C50" i="6"/>
  <c r="C51" i="6"/>
  <c r="D6" i="9"/>
  <c r="C6" i="9" s="1"/>
  <c r="E3" i="9"/>
  <c r="B3" i="9" s="1"/>
  <c r="O61" i="25" l="1"/>
  <c r="Q60" i="25"/>
  <c r="R60" i="25"/>
  <c r="P60" i="25"/>
  <c r="S60" i="25" s="1"/>
  <c r="S61" i="26"/>
  <c r="O63" i="26"/>
  <c r="Q62" i="26"/>
  <c r="P62" i="26"/>
  <c r="E46" i="15"/>
  <c r="D51" i="15" s="1"/>
  <c r="F7" i="15"/>
  <c r="F9" i="15" s="1"/>
  <c r="O62" i="25" l="1"/>
  <c r="R61" i="25"/>
  <c r="Q61" i="25"/>
  <c r="P61" i="25"/>
  <c r="S61" i="25" s="1"/>
  <c r="S62" i="26"/>
  <c r="T62" i="26" s="1"/>
  <c r="U62" i="26" s="1"/>
  <c r="O64" i="26"/>
  <c r="Q63" i="26"/>
  <c r="P63" i="26"/>
  <c r="F10" i="15"/>
  <c r="D18" i="15"/>
  <c r="D27" i="15" s="1"/>
  <c r="O63" i="25" l="1"/>
  <c r="R62" i="25"/>
  <c r="Q62" i="25"/>
  <c r="P62" i="25"/>
  <c r="S62" i="25" s="1"/>
  <c r="S63" i="26"/>
  <c r="O65" i="26"/>
  <c r="Q64" i="26"/>
  <c r="P64" i="26"/>
  <c r="D28" i="15"/>
  <c r="S17" i="15"/>
  <c r="O64" i="25" l="1"/>
  <c r="R63" i="25"/>
  <c r="Q63" i="25"/>
  <c r="P63" i="25"/>
  <c r="S63" i="25" s="1"/>
  <c r="S64" i="26"/>
  <c r="O66" i="26"/>
  <c r="Q65" i="26"/>
  <c r="P65" i="26"/>
  <c r="S65" i="26" s="1"/>
  <c r="M10" i="15"/>
  <c r="R10" i="15" s="1"/>
  <c r="M7" i="15"/>
  <c r="R7" i="15" s="1"/>
  <c r="M8" i="15"/>
  <c r="R8" i="15" s="1"/>
  <c r="M9" i="15"/>
  <c r="R9" i="15" s="1"/>
  <c r="M12" i="15"/>
  <c r="M6" i="15"/>
  <c r="R6" i="15" s="1"/>
  <c r="D26" i="15"/>
  <c r="M5" i="15"/>
  <c r="M11" i="15"/>
  <c r="O65" i="25" l="1"/>
  <c r="R64" i="25"/>
  <c r="Q64" i="25"/>
  <c r="P64" i="25"/>
  <c r="O67" i="26"/>
  <c r="Q66" i="26"/>
  <c r="P66" i="26"/>
  <c r="S66" i="26" s="1"/>
  <c r="M18" i="15"/>
  <c r="R12" i="15"/>
  <c r="R5" i="15"/>
  <c r="R13" i="15" s="1"/>
  <c r="M17" i="15"/>
  <c r="M19" i="15"/>
  <c r="R11" i="15"/>
  <c r="S64" i="25" l="1"/>
  <c r="T64" i="25" s="1"/>
  <c r="U64" i="25" s="1"/>
  <c r="O66" i="25"/>
  <c r="R65" i="25"/>
  <c r="Q65" i="25"/>
  <c r="P65" i="25"/>
  <c r="S65" i="25" s="1"/>
  <c r="O68" i="26"/>
  <c r="Q67" i="26"/>
  <c r="P67" i="26"/>
  <c r="S67" i="26" s="1"/>
  <c r="T67" i="26" s="1"/>
  <c r="U67" i="26" s="1"/>
  <c r="C41" i="5"/>
  <c r="C47" i="5" s="1"/>
  <c r="O67" i="25" l="1"/>
  <c r="R66" i="25"/>
  <c r="P66" i="25"/>
  <c r="Q66" i="25"/>
  <c r="O69" i="26"/>
  <c r="Q68" i="26"/>
  <c r="P68" i="26"/>
  <c r="S68" i="26" s="1"/>
  <c r="C42" i="5"/>
  <c r="C46" i="5"/>
  <c r="C43" i="5"/>
  <c r="C44" i="5"/>
  <c r="C45" i="5"/>
  <c r="S66" i="25" l="1"/>
  <c r="O68" i="25"/>
  <c r="R67" i="25"/>
  <c r="Q67" i="25"/>
  <c r="P67" i="25"/>
  <c r="O70" i="26"/>
  <c r="Q69" i="26"/>
  <c r="P69" i="26"/>
  <c r="S69" i="26" s="1"/>
  <c r="C56" i="5"/>
  <c r="C45" i="3"/>
  <c r="C34" i="3"/>
  <c r="C55" i="3" s="1"/>
  <c r="C56" i="3" s="1"/>
  <c r="B9" i="13"/>
  <c r="B8" i="13" s="1"/>
  <c r="B3" i="13"/>
  <c r="B5" i="13" s="1"/>
  <c r="S67" i="25" l="1"/>
  <c r="O69" i="25"/>
  <c r="R68" i="25"/>
  <c r="Q68" i="25"/>
  <c r="P68" i="25"/>
  <c r="S68" i="25" s="1"/>
  <c r="O71" i="26"/>
  <c r="Q70" i="26"/>
  <c r="P70" i="26"/>
  <c r="S70" i="26" s="1"/>
  <c r="D21" i="11"/>
  <c r="D25" i="10"/>
  <c r="D20" i="11"/>
  <c r="D19" i="11"/>
  <c r="H31" i="12"/>
  <c r="I9" i="12"/>
  <c r="I7" i="12"/>
  <c r="I8" i="12"/>
  <c r="I6" i="12"/>
  <c r="H9" i="12"/>
  <c r="H8" i="12"/>
  <c r="H7" i="12"/>
  <c r="H6" i="12"/>
  <c r="F15" i="12"/>
  <c r="C28" i="12"/>
  <c r="C29" i="12"/>
  <c r="H9" i="11"/>
  <c r="H8" i="11"/>
  <c r="B1" i="12"/>
  <c r="C1" i="12" s="1"/>
  <c r="C1" i="10"/>
  <c r="G7" i="10" s="1"/>
  <c r="D26" i="10"/>
  <c r="D1" i="11"/>
  <c r="C37" i="12"/>
  <c r="C12" i="12"/>
  <c r="C11" i="12"/>
  <c r="C7" i="11"/>
  <c r="C26" i="10"/>
  <c r="C27" i="10" s="1"/>
  <c r="O70" i="25" l="1"/>
  <c r="R69" i="25"/>
  <c r="P69" i="25"/>
  <c r="S69" i="25" s="1"/>
  <c r="T69" i="25" s="1"/>
  <c r="U69" i="25" s="1"/>
  <c r="Q69" i="25"/>
  <c r="O72" i="26"/>
  <c r="Q71" i="26"/>
  <c r="P71" i="26"/>
  <c r="S71" i="26" s="1"/>
  <c r="D37" i="12"/>
  <c r="G8" i="10"/>
  <c r="D29" i="12"/>
  <c r="C25" i="12"/>
  <c r="D25" i="12" s="1"/>
  <c r="C14" i="12"/>
  <c r="D12" i="12"/>
  <c r="D28" i="12"/>
  <c r="D8" i="12"/>
  <c r="D11" i="12"/>
  <c r="D10" i="12"/>
  <c r="D9" i="12"/>
  <c r="D7" i="12"/>
  <c r="D4" i="12"/>
  <c r="D6" i="12"/>
  <c r="D13" i="12"/>
  <c r="D5" i="12"/>
  <c r="G10" i="10"/>
  <c r="C24" i="5"/>
  <c r="C14" i="11"/>
  <c r="O71" i="25" l="1"/>
  <c r="Q70" i="25"/>
  <c r="R70" i="25"/>
  <c r="P70" i="25"/>
  <c r="S70" i="25" s="1"/>
  <c r="O73" i="26"/>
  <c r="P72" i="26"/>
  <c r="Q72" i="26"/>
  <c r="C26" i="11"/>
  <c r="D24" i="5"/>
  <c r="C20" i="12"/>
  <c r="C27" i="12"/>
  <c r="D27" i="12" s="1"/>
  <c r="C22" i="12"/>
  <c r="D22" i="12" s="1"/>
  <c r="C21" i="12"/>
  <c r="D21" i="12" s="1"/>
  <c r="C26" i="12"/>
  <c r="D26" i="12" s="1"/>
  <c r="C24" i="12"/>
  <c r="D24" i="12" s="1"/>
  <c r="D14" i="12"/>
  <c r="C32" i="12"/>
  <c r="D32" i="12" s="1"/>
  <c r="C23" i="12"/>
  <c r="D23" i="12" s="1"/>
  <c r="C6" i="11"/>
  <c r="C12" i="11"/>
  <c r="D12" i="11" s="1"/>
  <c r="C13" i="11"/>
  <c r="D13" i="11" s="1"/>
  <c r="C11" i="11"/>
  <c r="D11" i="11" s="1"/>
  <c r="C10" i="11"/>
  <c r="D10" i="11" s="1"/>
  <c r="C9" i="11"/>
  <c r="C8" i="11"/>
  <c r="D14" i="11"/>
  <c r="O72" i="25" l="1"/>
  <c r="R71" i="25"/>
  <c r="Q71" i="25"/>
  <c r="P71" i="25"/>
  <c r="S72" i="26"/>
  <c r="T72" i="26" s="1"/>
  <c r="U72" i="26" s="1"/>
  <c r="O74" i="26"/>
  <c r="Q73" i="26"/>
  <c r="P73" i="26"/>
  <c r="D8" i="11"/>
  <c r="C15" i="11"/>
  <c r="I31" i="12"/>
  <c r="D20" i="12"/>
  <c r="D26" i="11"/>
  <c r="D9" i="11"/>
  <c r="D6" i="11"/>
  <c r="D7" i="11"/>
  <c r="O73" i="25" l="1"/>
  <c r="R72" i="25"/>
  <c r="Q72" i="25"/>
  <c r="P72" i="25"/>
  <c r="S72" i="25" s="1"/>
  <c r="S71" i="25"/>
  <c r="S73" i="26"/>
  <c r="O75" i="26"/>
  <c r="Q74" i="26"/>
  <c r="P74" i="26"/>
  <c r="S74" i="26" s="1"/>
  <c r="C5" i="11"/>
  <c r="D5" i="11" s="1"/>
  <c r="C4" i="11"/>
  <c r="O74" i="25" l="1"/>
  <c r="R73" i="25"/>
  <c r="Q73" i="25"/>
  <c r="P73" i="25"/>
  <c r="O76" i="26"/>
  <c r="Q75" i="26"/>
  <c r="P75" i="26"/>
  <c r="C22" i="11"/>
  <c r="C28" i="11" s="1"/>
  <c r="D15" i="11"/>
  <c r="D4" i="11"/>
  <c r="S75" i="26" l="1"/>
  <c r="S73" i="25"/>
  <c r="R74" i="25"/>
  <c r="Q74" i="25"/>
  <c r="F8" i="25" s="1"/>
  <c r="P74" i="25"/>
  <c r="O77" i="26"/>
  <c r="Q76" i="26"/>
  <c r="P76" i="26"/>
  <c r="S76" i="26" s="1"/>
  <c r="D22" i="11"/>
  <c r="D28" i="11" s="1"/>
  <c r="C20" i="11"/>
  <c r="C19" i="11"/>
  <c r="C22" i="10"/>
  <c r="D22" i="10" s="1"/>
  <c r="C24" i="10"/>
  <c r="D24" i="10" s="1"/>
  <c r="C23" i="10"/>
  <c r="D23" i="10" s="1"/>
  <c r="C16" i="10"/>
  <c r="C18" i="10" s="1"/>
  <c r="E8" i="25" l="1"/>
  <c r="S74" i="25"/>
  <c r="T74" i="25" s="1"/>
  <c r="U74" i="25" s="1"/>
  <c r="Q77" i="26"/>
  <c r="P77" i="26"/>
  <c r="C21" i="11"/>
  <c r="D5" i="10"/>
  <c r="D17" i="10"/>
  <c r="D12" i="10"/>
  <c r="D18" i="10"/>
  <c r="D11" i="10"/>
  <c r="D10" i="10"/>
  <c r="D9" i="10"/>
  <c r="C25" i="10"/>
  <c r="D27" i="10" s="1"/>
  <c r="D16" i="10"/>
  <c r="D8" i="10"/>
  <c r="D4" i="10"/>
  <c r="D15" i="10"/>
  <c r="D7" i="10"/>
  <c r="D14" i="10"/>
  <c r="D6" i="10"/>
  <c r="D13" i="10"/>
  <c r="J8" i="25" l="1"/>
  <c r="E11" i="26"/>
  <c r="S77" i="26"/>
  <c r="T77" i="26" s="1"/>
  <c r="U77" i="26" s="1"/>
  <c r="C31" i="9"/>
  <c r="D31" i="9" s="1"/>
  <c r="E31" i="9" s="1"/>
  <c r="C28" i="9"/>
  <c r="D28" i="9" s="1"/>
  <c r="E28" i="9" s="1"/>
  <c r="G3" i="9"/>
  <c r="C3" i="9" s="1"/>
  <c r="A3" i="9" s="1"/>
  <c r="A7" i="9" s="1"/>
  <c r="C26" i="6"/>
  <c r="C22" i="6"/>
  <c r="C22" i="3"/>
  <c r="D22" i="3" s="1"/>
  <c r="L8" i="25" l="1"/>
  <c r="F10" i="25"/>
  <c r="K10" i="25" s="1"/>
  <c r="E10" i="25"/>
  <c r="J11" i="26"/>
  <c r="L11" i="26" s="1"/>
  <c r="E13" i="26"/>
  <c r="K13" i="26" s="1"/>
  <c r="B6" i="9"/>
  <c r="A6" i="9" s="1"/>
  <c r="A8" i="9" s="1"/>
  <c r="C31" i="10"/>
  <c r="D31" i="10" s="1"/>
  <c r="D34" i="10" s="1"/>
  <c r="C19" i="6"/>
  <c r="C21" i="6"/>
  <c r="C30" i="12" s="1"/>
  <c r="C9" i="6"/>
  <c r="C19" i="12" s="1"/>
  <c r="D19" i="12" l="1"/>
  <c r="D31" i="12" s="1"/>
  <c r="C31" i="12"/>
  <c r="D30" i="12"/>
  <c r="C38" i="12"/>
  <c r="C34" i="10"/>
  <c r="D5" i="7"/>
  <c r="B25" i="2"/>
  <c r="D38" i="12" l="1"/>
  <c r="D39" i="12" s="1"/>
  <c r="D41" i="12" s="1"/>
  <c r="C41" i="12"/>
  <c r="F68" i="25"/>
  <c r="F76" i="26"/>
  <c r="F74" i="26"/>
  <c r="F67" i="25"/>
  <c r="F77" i="26"/>
  <c r="F75" i="26"/>
  <c r="F74" i="25"/>
  <c r="F66" i="25"/>
  <c r="F73" i="26"/>
  <c r="F71" i="26"/>
  <c r="F69" i="26"/>
  <c r="F70" i="25"/>
  <c r="F68" i="26"/>
  <c r="F72" i="25"/>
  <c r="F69" i="25"/>
  <c r="F65" i="25"/>
  <c r="F70" i="26"/>
  <c r="F73" i="25"/>
  <c r="F72" i="26"/>
  <c r="F71"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tc={4E5A3C86-5A84-4ACE-90C0-4DF91D7D7DE2}</author>
    <author>tc={60C2BEB6-E0E0-467D-829A-5ECC652AE8D2}</author>
    <author>tc={89FD53D1-FA62-4834-805D-6603E813B0C5}</author>
    <author>tc={3EBDCBB5-8A57-4BF0-B65C-E58D616692A3}</author>
  </authors>
  <commentList>
    <comment ref="F12" authorId="0" shapeId="0" xr:uid="{4E5A3C86-5A84-4ACE-90C0-4DF91D7D7DE2}">
      <text>
        <t>[Threaded comment]
Your version of Excel allows you to read this threaded comment; however, any edits to it will get removed if the file is opened in a newer version of Excel. Learn more: https://go.microsoft.com/fwlink/?linkid=870924
Comment:
    https://www.hydrousa.org/wp-content/uploads/2020/12/HYDROUSA-Design-of-the-UASB-and-biogas-upgrade.pdf</t>
      </text>
    </comment>
    <comment ref="F17" authorId="1" shapeId="0" xr:uid="{60C2BEB6-E0E0-467D-829A-5ECC652AE8D2}">
      <text>
        <t>[Threaded comment]
Your version of Excel allows you to read this threaded comment; however, any edits to it will get removed if the file is opened in a newer version of Excel. Learn more: https://go.microsoft.com/fwlink/?linkid=870924
Comment:
    https://www.hydrousa.org/wp-content/uploads/2020/12/HYDROUSA-Design-of-the-UASB-and-biogas-upgrade.pdf</t>
      </text>
    </comment>
    <comment ref="D20" authorId="2" shapeId="0" xr:uid="{89FD53D1-FA62-4834-805D-6603E813B0C5}">
      <text>
        <t>[Threaded comment]
Your version of Excel allows you to read this threaded comment; however, any edits to it will get removed if the file is opened in a newer version of Excel. Learn more: https://go.microsoft.com/fwlink/?linkid=870924
Comment:
    https://calculator.academy/steel-tank-calculator/#f1p1|f2p0</t>
      </text>
    </comment>
    <comment ref="D21" authorId="3" shapeId="0" xr:uid="{3EBDCBB5-8A57-4BF0-B65C-E58D616692A3}">
      <text>
        <t>[Threaded comment]
Your version of Excel allows you to read this threaded comment; however, any edits to it will get removed if the file is opened in a newer version of Excel. Learn more: https://go.microsoft.com/fwlink/?linkid=870924
Comment:
    https://calculator.academy/steel-tank-calculator/#f1p1|f2p0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tc={814A97A5-44E7-41E5-9DD0-54BCF971A4C3}</author>
    <author>tc={C32DC2A2-39FD-4149-A26A-70ED7E25F06D}</author>
    <author>tc={6481A751-D9CD-41EB-9F41-9A8B98DED65E}</author>
  </authors>
  <commentList>
    <comment ref="G2" authorId="0" shapeId="0" xr:uid="{814A97A5-44E7-41E5-9DD0-54BCF971A4C3}">
      <text>
        <t>[Threaded comment]
Your version of Excel allows you to read this threaded comment; however, any edits to it will get removed if the file is opened in a newer version of Excel. Learn more: https://go.microsoft.com/fwlink/?linkid=870924
Comment:
    MCF is the AREA WEIGHTED AVERAGE of vertical and horizontal wetland</t>
      </text>
    </comment>
    <comment ref="B5" authorId="1" shapeId="0" xr:uid="{C32DC2A2-39FD-4149-A26A-70ED7E25F06D}">
      <text>
        <t>[Threaded comment]
Your version of Excel allows you to read this threaded comment; however, any edits to it will get removed if the file is opened in a newer version of Excel. Learn more: https://go.microsoft.com/fwlink/?linkid=870924
Comment:
    EFJ is the AREA WEIGHTED AVERAGE of vertical and horizontal wetland</t>
      </text>
    </comment>
    <comment ref="E27" authorId="2" shapeId="0" xr:uid="{6481A751-D9CD-41EB-9F41-9A8B98DED65E}">
      <text>
        <t>[Threaded comment]
Your version of Excel allows you to read this threaded comment; however, any edits to it will get removed if the file is opened in a newer version of Excel. Learn more: https://go.microsoft.com/fwlink/?linkid=870924
Comment:
    g/l = kg/m3</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tc={ED1C8F29-D800-41D6-81A1-9972097FFCF6}</author>
    <author>tc={E4185D2F-A61E-49CD-A842-35A4A3103770}</author>
  </authors>
  <commentList>
    <comment ref="M3" authorId="0" shapeId="0" xr:uid="{ED1C8F29-D800-41D6-81A1-9972097FFCF6}">
      <text>
        <t>[Threaded comment]
Your version of Excel allows you to read this threaded comment; however, any edits to it will get removed if the file is opened in a newer version of Excel. Learn more: https://go.microsoft.com/fwlink/?linkid=870924
Comment:
    This values are per day!</t>
      </text>
    </comment>
    <comment ref="E43" authorId="1" shapeId="0" xr:uid="{E4185D2F-A61E-49CD-A842-35A4A3103770}">
      <text>
        <t xml:space="preserve">[Threaded comment]
Your version of Excel allows you to read this threaded comment; however, any edits to it will get removed if the file is opened in a newer version of Excel. Learn more: https://go.microsoft.com/fwlink/?linkid=870924
Comment:
    According to Marco could be also 16-30 </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3">
    <bk>
      <extLst>
        <ext uri="{3e2802c4-a4d2-4d8b-9148-e3be6c30e623}">
          <xlrd:rvb i="0"/>
        </ext>
      </extLst>
    </bk>
    <bk>
      <extLst>
        <ext uri="{3e2802c4-a4d2-4d8b-9148-e3be6c30e623}">
          <xlrd:rvb i="58"/>
        </ext>
      </extLst>
    </bk>
    <bk>
      <extLst>
        <ext uri="{3e2802c4-a4d2-4d8b-9148-e3be6c30e623}">
          <xlrd:rvb i="152"/>
        </ext>
      </extLst>
    </bk>
    <bk>
      <extLst>
        <ext uri="{3e2802c4-a4d2-4d8b-9148-e3be6c30e623}">
          <xlrd:rvb i="197"/>
        </ext>
      </extLst>
    </bk>
    <bk>
      <extLst>
        <ext uri="{3e2802c4-a4d2-4d8b-9148-e3be6c30e623}">
          <xlrd:rvb i="261"/>
        </ext>
      </extLst>
    </bk>
    <bk>
      <extLst>
        <ext uri="{3e2802c4-a4d2-4d8b-9148-e3be6c30e623}">
          <xlrd:rvb i="310"/>
        </ext>
      </extLst>
    </bk>
    <bk>
      <extLst>
        <ext uri="{3e2802c4-a4d2-4d8b-9148-e3be6c30e623}">
          <xlrd:rvb i="382"/>
        </ext>
      </extLst>
    </bk>
    <bk>
      <extLst>
        <ext uri="{3e2802c4-a4d2-4d8b-9148-e3be6c30e623}">
          <xlrd:rvb i="451"/>
        </ext>
      </extLst>
    </bk>
    <bk>
      <extLst>
        <ext uri="{3e2802c4-a4d2-4d8b-9148-e3be6c30e623}">
          <xlrd:rvb i="466"/>
        </ext>
      </extLst>
    </bk>
    <bk>
      <extLst>
        <ext uri="{3e2802c4-a4d2-4d8b-9148-e3be6c30e623}">
          <xlrd:rvb i="523"/>
        </ext>
      </extLst>
    </bk>
    <bk>
      <extLst>
        <ext uri="{3e2802c4-a4d2-4d8b-9148-e3be6c30e623}">
          <xlrd:rvb i="574"/>
        </ext>
      </extLst>
    </bk>
    <bk>
      <extLst>
        <ext uri="{3e2802c4-a4d2-4d8b-9148-e3be6c30e623}">
          <xlrd:rvb i="635"/>
        </ext>
      </extLst>
    </bk>
    <bk>
      <extLst>
        <ext uri="{3e2802c4-a4d2-4d8b-9148-e3be6c30e623}">
          <xlrd:rvb i="683"/>
        </ext>
      </extLst>
    </bk>
    <bk>
      <extLst>
        <ext uri="{3e2802c4-a4d2-4d8b-9148-e3be6c30e623}">
          <xlrd:rvb i="746"/>
        </ext>
      </extLst>
    </bk>
    <bk>
      <extLst>
        <ext uri="{3e2802c4-a4d2-4d8b-9148-e3be6c30e623}">
          <xlrd:rvb i="786"/>
        </ext>
      </extLst>
    </bk>
    <bk>
      <extLst>
        <ext uri="{3e2802c4-a4d2-4d8b-9148-e3be6c30e623}">
          <xlrd:rvb i="805"/>
        </ext>
      </extLst>
    </bk>
    <bk>
      <extLst>
        <ext uri="{3e2802c4-a4d2-4d8b-9148-e3be6c30e623}">
          <xlrd:rvb i="870"/>
        </ext>
      </extLst>
    </bk>
    <bk>
      <extLst>
        <ext uri="{3e2802c4-a4d2-4d8b-9148-e3be6c30e623}">
          <xlrd:rvb i="927"/>
        </ext>
      </extLst>
    </bk>
    <bk>
      <extLst>
        <ext uri="{3e2802c4-a4d2-4d8b-9148-e3be6c30e623}">
          <xlrd:rvb i="936"/>
        </ext>
      </extLst>
    </bk>
    <bk>
      <extLst>
        <ext uri="{3e2802c4-a4d2-4d8b-9148-e3be6c30e623}">
          <xlrd:rvb i="1106"/>
        </ext>
      </extLst>
    </bk>
    <bk>
      <extLst>
        <ext uri="{3e2802c4-a4d2-4d8b-9148-e3be6c30e623}">
          <xlrd:rvb i="1166"/>
        </ext>
      </extLst>
    </bk>
    <bk>
      <extLst>
        <ext uri="{3e2802c4-a4d2-4d8b-9148-e3be6c30e623}">
          <xlrd:rvb i="1223"/>
        </ext>
      </extLst>
    </bk>
    <bk>
      <extLst>
        <ext uri="{3e2802c4-a4d2-4d8b-9148-e3be6c30e623}">
          <xlrd:rvb i="1287"/>
        </ext>
      </extLst>
    </bk>
  </futureMetadata>
  <valueMetadata count="2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valueMetadata>
</metadata>
</file>

<file path=xl/sharedStrings.xml><?xml version="1.0" encoding="utf-8"?>
<sst xmlns="http://schemas.openxmlformats.org/spreadsheetml/2006/main" count="2147" uniqueCount="844">
  <si>
    <t xml:space="preserve">Future scenarios for sustainable water management in Mediterranean agricultural systems: a life cycle case study on water reuse in Northern Italy </t>
  </si>
  <si>
    <t xml:space="preserve">Index </t>
  </si>
  <si>
    <t>Nr.</t>
  </si>
  <si>
    <t xml:space="preserve">Name  </t>
  </si>
  <si>
    <t xml:space="preserve">Description </t>
  </si>
  <si>
    <t>S1</t>
  </si>
  <si>
    <t>Water Statistics</t>
  </si>
  <si>
    <t xml:space="preserve">Percentage of agricultural water withdrawl in the Mediterranean </t>
  </si>
  <si>
    <t>S2</t>
  </si>
  <si>
    <t>UASB_Inventory</t>
  </si>
  <si>
    <t>Inventory of UASB at pilot and upscaled level</t>
  </si>
  <si>
    <t>S3</t>
  </si>
  <si>
    <t>UASB_Pilot Costs</t>
  </si>
  <si>
    <t>Life Cycle Cost at pilot level</t>
  </si>
  <si>
    <t>S4</t>
  </si>
  <si>
    <t>UASB_Up_Hyp</t>
  </si>
  <si>
    <t>Upscaling hypothesis of UASB</t>
  </si>
  <si>
    <t>S5</t>
  </si>
  <si>
    <t>CW_Inventory</t>
  </si>
  <si>
    <t>Inventory of CW at pilot and upscaled level</t>
  </si>
  <si>
    <t>S6</t>
  </si>
  <si>
    <t>CW_Costs</t>
  </si>
  <si>
    <t>S7</t>
  </si>
  <si>
    <t>CW_Emissions</t>
  </si>
  <si>
    <t>Methane and nitrous oxides emissions from CW</t>
  </si>
  <si>
    <t>S8</t>
  </si>
  <si>
    <t>MIPs_Inventory</t>
  </si>
  <si>
    <t>Inventory of MIPs at pilot and upscaled level</t>
  </si>
  <si>
    <t>S9</t>
  </si>
  <si>
    <t>MIPS_Costs</t>
  </si>
  <si>
    <t>S10</t>
  </si>
  <si>
    <t>MIPs_Up_Hyp</t>
  </si>
  <si>
    <t>Upscaling hypothesis of MIPs</t>
  </si>
  <si>
    <t>S11</t>
  </si>
  <si>
    <t>Pilot Scale_LCA</t>
  </si>
  <si>
    <t>Single scores results of LCA at pilot scale</t>
  </si>
  <si>
    <t>S12</t>
  </si>
  <si>
    <t>Upscaling Hypo_Tomatoes</t>
  </si>
  <si>
    <r>
      <t>Upscaling hypo from m</t>
    </r>
    <r>
      <rPr>
        <vertAlign val="superscript"/>
        <sz val="11"/>
        <color theme="0"/>
        <rFont val="Times New Roman"/>
        <family val="1"/>
      </rPr>
      <t>3</t>
    </r>
    <r>
      <rPr>
        <sz val="11"/>
        <color theme="0"/>
        <rFont val="Times New Roman"/>
        <family val="1"/>
      </rPr>
      <t xml:space="preserve"> of wastewater to kg tomatoes</t>
    </r>
  </si>
  <si>
    <t>S13</t>
  </si>
  <si>
    <t>Water Balance</t>
  </si>
  <si>
    <t>Water balance of the water management scenarios</t>
  </si>
  <si>
    <t>S14</t>
  </si>
  <si>
    <t>Upscaled LCA</t>
  </si>
  <si>
    <t>Results of upscaled LCA</t>
  </si>
  <si>
    <t>S15</t>
  </si>
  <si>
    <t>Upscaled LCC_UASB+ACW</t>
  </si>
  <si>
    <t xml:space="preserve">Results of upscaled LCC for primary treatment </t>
  </si>
  <si>
    <t>S16</t>
  </si>
  <si>
    <t>Upscaled LCC_MIPs</t>
  </si>
  <si>
    <t xml:space="preserve">Results of upscaled LCC for tertiary treatment </t>
  </si>
  <si>
    <t>S17</t>
  </si>
  <si>
    <t xml:space="preserve">Upscaled LCC_BAU &amp; Total </t>
  </si>
  <si>
    <t xml:space="preserve">Results of upscaled LCC for BAU and total costs in kg </t>
  </si>
  <si>
    <t>S18</t>
  </si>
  <si>
    <t>eLCC</t>
  </si>
  <si>
    <t>Monetised impacts of LCA results</t>
  </si>
  <si>
    <t>S19</t>
  </si>
  <si>
    <t>Monte Carlo</t>
  </si>
  <si>
    <t>Resulst of sensitivity analysis</t>
  </si>
  <si>
    <t xml:space="preserve">Country </t>
  </si>
  <si>
    <t xml:space="preserve">Water withdrawl for agriculture as % of total </t>
  </si>
  <si>
    <t xml:space="preserve">PILOT SCALE </t>
  </si>
  <si>
    <t>0,07 m3/d</t>
  </si>
  <si>
    <t xml:space="preserve">Construction </t>
  </si>
  <si>
    <t xml:space="preserve">Code  </t>
  </si>
  <si>
    <t xml:space="preserve">Description  </t>
  </si>
  <si>
    <t xml:space="preserve">Value </t>
  </si>
  <si>
    <t xml:space="preserve">Unit </t>
  </si>
  <si>
    <t xml:space="preserve">Source </t>
  </si>
  <si>
    <t>Note on modelling in SimaPro</t>
  </si>
  <si>
    <t xml:space="preserve">TK-01 </t>
  </si>
  <si>
    <t xml:space="preserve">Tank (LLDPE) </t>
  </si>
  <si>
    <t xml:space="preserve">kg </t>
  </si>
  <si>
    <t xml:space="preserve">Pilot Owner </t>
  </si>
  <si>
    <t xml:space="preserve">Material production + main process (injection moulding) + transport (PEF guidelines) - Ecoinvent </t>
  </si>
  <si>
    <t>PC-01</t>
  </si>
  <si>
    <t xml:space="preserve">Submersible Dewatering Pump </t>
  </si>
  <si>
    <t>W</t>
  </si>
  <si>
    <t xml:space="preserve">Adaptation from Ecoinvent proces for water pump production (1 piece of 22 kW)- Disposal included </t>
  </si>
  <si>
    <t>R-03</t>
  </si>
  <si>
    <t xml:space="preserve">Boiler </t>
  </si>
  <si>
    <t xml:space="preserve">1 piece of 10 kW - Ecoinvent </t>
  </si>
  <si>
    <t xml:space="preserve">R-01 </t>
  </si>
  <si>
    <t xml:space="preserve">Reactor (PMMA) </t>
  </si>
  <si>
    <t>P-01</t>
  </si>
  <si>
    <t>Feeding Pump</t>
  </si>
  <si>
    <t xml:space="preserve">Adaptation from Ecoinvent proces for water pump production (1 piece of 22 kW) - Disposal Included </t>
  </si>
  <si>
    <t xml:space="preserve">P-02 </t>
  </si>
  <si>
    <t xml:space="preserve">Effluent Pump </t>
  </si>
  <si>
    <t xml:space="preserve">Adaptation from Ecoinvent proces for water pump production (1 piece of 22 kW) - Disposal included </t>
  </si>
  <si>
    <t xml:space="preserve">TK-02 </t>
  </si>
  <si>
    <t xml:space="preserve">Operational Phase  </t>
  </si>
  <si>
    <t>Type</t>
  </si>
  <si>
    <t xml:space="preserve">Input </t>
  </si>
  <si>
    <t>Activated Carbon</t>
  </si>
  <si>
    <t xml:space="preserve">Assumption </t>
  </si>
  <si>
    <t xml:space="preserve">As Pilot Plant did not include the biogas recovery unit, a GAC filter was considered </t>
  </si>
  <si>
    <t>Electricity</t>
  </si>
  <si>
    <t>kW/d</t>
  </si>
  <si>
    <t xml:space="preserve">For 24 hours </t>
  </si>
  <si>
    <t xml:space="preserve">Output </t>
  </si>
  <si>
    <t>Spent Activated Carbon</t>
  </si>
  <si>
    <t xml:space="preserve">For reactivation </t>
  </si>
  <si>
    <t xml:space="preserve">Sludge </t>
  </si>
  <si>
    <t>kg/yr</t>
  </si>
  <si>
    <t>Drying + Sanitary Landfill</t>
  </si>
  <si>
    <t>Biogas (CH4 80% + CO2 20%)</t>
  </si>
  <si>
    <t>g/d</t>
  </si>
  <si>
    <t xml:space="preserve">Biogas </t>
  </si>
  <si>
    <t>m3/yr</t>
  </si>
  <si>
    <t>Economic Allocation (1,14%)</t>
  </si>
  <si>
    <t xml:space="preserve">Wastewater </t>
  </si>
  <si>
    <t>m3/d</t>
  </si>
  <si>
    <t>Economic Allocation (98,86%)</t>
  </si>
  <si>
    <t xml:space="preserve">Disposal Phase  </t>
  </si>
  <si>
    <t xml:space="preserve">Output  </t>
  </si>
  <si>
    <t>Waste Tank, Reactors</t>
  </si>
  <si>
    <t xml:space="preserve">Municipal collection (45km) + waste plastic market mixture </t>
  </si>
  <si>
    <t xml:space="preserve">UPSCALED </t>
  </si>
  <si>
    <t xml:space="preserve">800 m3/d </t>
  </si>
  <si>
    <t xml:space="preserve">Tank (Glass Fiber Reinforced) </t>
  </si>
  <si>
    <t>See UASB_Up_Hyp</t>
  </si>
  <si>
    <t xml:space="preserve">Flass fiber production + main process ( moulding) + transport (PEF guidelines) - Ecoinvent </t>
  </si>
  <si>
    <t>kW</t>
  </si>
  <si>
    <t>R-01</t>
  </si>
  <si>
    <t xml:space="preserve">Electric Resistance </t>
  </si>
  <si>
    <t xml:space="preserve">In theory as we treat in summer we don't need it </t>
  </si>
  <si>
    <t>Gasometer</t>
  </si>
  <si>
    <t>Flame arrester (stainless steel)</t>
  </si>
  <si>
    <t xml:space="preserve">Land </t>
  </si>
  <si>
    <t xml:space="preserve">m2 </t>
  </si>
  <si>
    <t>Reactor (Stainless steel) (2)</t>
  </si>
  <si>
    <t xml:space="preserve">Steel  production + main process (hot rolling and welding) + transport (PEF guidelines) - Ecoinvent </t>
  </si>
  <si>
    <t>TK-03</t>
  </si>
  <si>
    <t xml:space="preserve">Tank (Sludge Dewatering) </t>
  </si>
  <si>
    <t>Replacement with virgin coal every 5 year</t>
  </si>
  <si>
    <t>Reactivation every 6 monts</t>
  </si>
  <si>
    <t>Allocation (%)</t>
  </si>
  <si>
    <t>Value (€/20 yrs)</t>
  </si>
  <si>
    <t xml:space="preserve">Price </t>
  </si>
  <si>
    <t>Biogas</t>
  </si>
  <si>
    <t>€/Gj</t>
  </si>
  <si>
    <t>Wastewater</t>
  </si>
  <si>
    <t>€/m3</t>
  </si>
  <si>
    <t>Hozgun et al., 2021</t>
  </si>
  <si>
    <t>Economic Allocation (96%)</t>
  </si>
  <si>
    <t xml:space="preserve">Total </t>
  </si>
  <si>
    <t>GJ/d</t>
  </si>
  <si>
    <t>Economic Allocation (4%)</t>
  </si>
  <si>
    <t xml:space="preserve">Scrap steel </t>
  </si>
  <si>
    <t>0.07 m3/d</t>
  </si>
  <si>
    <t>m3*20 yr</t>
  </si>
  <si>
    <t xml:space="preserve">Acquisition Costs  </t>
  </si>
  <si>
    <t>LCC (€/m3)</t>
  </si>
  <si>
    <t xml:space="preserve">Note </t>
  </si>
  <si>
    <t>€</t>
  </si>
  <si>
    <t>MGC</t>
  </si>
  <si>
    <t>Biogas meter</t>
  </si>
  <si>
    <t>TP</t>
  </si>
  <si>
    <t>Temperature sensor</t>
  </si>
  <si>
    <t>TK-01/TK-02</t>
  </si>
  <si>
    <t>REDOX sensor</t>
  </si>
  <si>
    <t>Modular timer</t>
  </si>
  <si>
    <t>Thermometer</t>
  </si>
  <si>
    <t>V01-V05</t>
  </si>
  <si>
    <t>Valves</t>
  </si>
  <si>
    <t>GAC Filter</t>
  </si>
  <si>
    <t xml:space="preserve">Sigma -Aldrich </t>
  </si>
  <si>
    <t xml:space="preserve">Operation, Mantainance and Replacement  </t>
  </si>
  <si>
    <t>€/yr</t>
  </si>
  <si>
    <t xml:space="preserve">Secondary </t>
  </si>
  <si>
    <t xml:space="preserve">Ellis et al., 2023 (https://doi.org/10.1016/j.watres.2023.120324)  </t>
  </si>
  <si>
    <t xml:space="preserve">No reliable for pilot </t>
  </si>
  <si>
    <t xml:space="preserve">Sludge Disposal </t>
  </si>
  <si>
    <t>Costs for Municipal Waste Management in the EU</t>
  </si>
  <si>
    <t xml:space="preserve">Mantainance </t>
  </si>
  <si>
    <t>5% of CAPEX</t>
  </si>
  <si>
    <t xml:space="preserve">Decommisioning costs </t>
  </si>
  <si>
    <t xml:space="preserve">Costs of disposal </t>
  </si>
  <si>
    <t xml:space="preserve">Total Costs </t>
  </si>
  <si>
    <t>Caracteristics of the upscaled UASB</t>
  </si>
  <si>
    <t>Flowrate</t>
  </si>
  <si>
    <r>
      <t>m</t>
    </r>
    <r>
      <rPr>
        <vertAlign val="superscript"/>
        <sz val="11"/>
        <rFont val="Times New Roman"/>
        <family val="1"/>
      </rPr>
      <t>3</t>
    </r>
    <r>
      <rPr>
        <sz val="11"/>
        <rFont val="Times New Roman"/>
        <family val="1"/>
      </rPr>
      <t>/d</t>
    </r>
  </si>
  <si>
    <t xml:space="preserve">Flowrate (h) </t>
  </si>
  <si>
    <r>
      <t>m</t>
    </r>
    <r>
      <rPr>
        <vertAlign val="superscript"/>
        <sz val="11"/>
        <color theme="1"/>
        <rFont val="Times New Roman"/>
        <family val="1"/>
      </rPr>
      <t>3</t>
    </r>
    <r>
      <rPr>
        <sz val="11"/>
        <color theme="1"/>
        <rFont val="Times New Roman"/>
        <family val="1"/>
      </rPr>
      <t>/h</t>
    </r>
  </si>
  <si>
    <t>HRT</t>
  </si>
  <si>
    <t>h</t>
  </si>
  <si>
    <t xml:space="preserve"> value of HRT of 10 h has been
considered in order to be conservative and to ensure an effective organic matter removal even underthe most
unfavourable situations: peak organic loads during summer period and low temperatures during wint</t>
  </si>
  <si>
    <t>Theorical Volume of UASB</t>
  </si>
  <si>
    <r>
      <t>m</t>
    </r>
    <r>
      <rPr>
        <vertAlign val="superscript"/>
        <sz val="11"/>
        <rFont val="Times New Roman"/>
        <family val="1"/>
      </rPr>
      <t>3</t>
    </r>
  </si>
  <si>
    <r>
      <t>UASB &lt; 300 m</t>
    </r>
    <r>
      <rPr>
        <vertAlign val="superscript"/>
        <sz val="11"/>
        <rFont val="Times New Roman"/>
        <family val="1"/>
      </rPr>
      <t>3</t>
    </r>
    <r>
      <rPr>
        <sz val="11"/>
        <rFont val="Times New Roman"/>
        <family val="1"/>
      </rPr>
      <t xml:space="preserve"> usually cylindrical</t>
    </r>
  </si>
  <si>
    <t xml:space="preserve">UASB Volume </t>
  </si>
  <si>
    <t xml:space="preserve">m3 </t>
  </si>
  <si>
    <t xml:space="preserve">Hypo: 2 UASB reactors </t>
  </si>
  <si>
    <t xml:space="preserve">Height </t>
  </si>
  <si>
    <t xml:space="preserve">Diameter </t>
  </si>
  <si>
    <t xml:space="preserve">Radius </t>
  </si>
  <si>
    <t>Element</t>
  </si>
  <si>
    <t xml:space="preserve">Phase </t>
  </si>
  <si>
    <t>Material</t>
  </si>
  <si>
    <t>Quantity</t>
  </si>
  <si>
    <t>Unit</t>
  </si>
  <si>
    <t>Caracteristics</t>
  </si>
  <si>
    <t>Source</t>
  </si>
  <si>
    <t>Power</t>
  </si>
  <si>
    <t>Link</t>
  </si>
  <si>
    <t>Accumulation tank</t>
  </si>
  <si>
    <t>Pre-treatment</t>
  </si>
  <si>
    <t>Glass-Fiber Reinforced Plastic</t>
  </si>
  <si>
    <t>kg</t>
  </si>
  <si>
    <t xml:space="preserve">Tank for 17200 l (upscaled from Hydrousa) </t>
  </si>
  <si>
    <t xml:space="preserve">BARR + Hydrousa </t>
  </si>
  <si>
    <t>https://www.barrplastics.com/commercial-fibreglass-wastewater-tanks.html#.Y11J8XZBw2w</t>
  </si>
  <si>
    <t>Submerged pump to UASB</t>
  </si>
  <si>
    <t>Stainless steel AISI 304</t>
  </si>
  <si>
    <t>EBARA DW 100 -&gt;  33,3 m3/h</t>
  </si>
  <si>
    <t xml:space="preserve">Secondary (EBARA) </t>
  </si>
  <si>
    <t>0,75 kW</t>
  </si>
  <si>
    <t>https://www.ebaraeurope.com/wp-content/plugins/woocommerce-onpage/storage/cache/DataBook_Dw-Dwvox_50_O.149.pdf</t>
  </si>
  <si>
    <t>Electric resistance</t>
  </si>
  <si>
    <t>UASB</t>
  </si>
  <si>
    <t>Tube: AISI 316L</t>
  </si>
  <si>
    <t>Inspired from Hydrousa</t>
  </si>
  <si>
    <t>6 kW</t>
  </si>
  <si>
    <t>Centrifugal pump for influent pumping</t>
  </si>
  <si>
    <t>EBARA DWO 150 -&gt; 33,3 m3/h</t>
  </si>
  <si>
    <t>1,5 kW</t>
  </si>
  <si>
    <t>https://www.ebaraeurope.com/it/prodotto/dwo-it/</t>
  </si>
  <si>
    <t>Centrifugal pump for effluent recirculation</t>
  </si>
  <si>
    <t>Effluent recirculation tank</t>
  </si>
  <si>
    <t xml:space="preserve">Tank for 8000 l (upscaled from Hydrousa) </t>
  </si>
  <si>
    <t xml:space="preserve">Energy Consumption </t>
  </si>
  <si>
    <t xml:space="preserve">Area </t>
  </si>
  <si>
    <t xml:space="preserve">UASB </t>
  </si>
  <si>
    <t xml:space="preserve">HYDROUSA </t>
  </si>
  <si>
    <t>UASB reactor</t>
  </si>
  <si>
    <t>AISI 316</t>
  </si>
  <si>
    <t>Cylindric with an internal conic separator
Volume : 133 m3
Height : 6 m
Diameter : 5,31 m Thickness: 50 cm Density AISI Steel 316: 0,289 lbs/in3</t>
  </si>
  <si>
    <t>https://comquima.com/en/used-stainless-steel-316l-20-000-litres-aguilar-y-salas-reactor</t>
  </si>
  <si>
    <t>Anaerobic digestion plant, for sewage sludge {CH}| construction | Cut-off, U</t>
  </si>
  <si>
    <t>Gas Liquid Separator</t>
  </si>
  <si>
    <t xml:space="preserve">negligible? </t>
  </si>
  <si>
    <t>Mixer</t>
  </si>
  <si>
    <t>Biogas line</t>
  </si>
  <si>
    <t>Reinforced PE</t>
  </si>
  <si>
    <t xml:space="preserve">Height = 5 m; Radius= 1,38 m PVC density= 0.97 g/cm3; Thickness= 1mm </t>
  </si>
  <si>
    <t xml:space="preserve">Upscaled from hydrousa (4m3) </t>
  </si>
  <si>
    <t>https://biogasengineering.it/wp-content/uploads/2019/12/Gasometro_EN.pdf</t>
  </si>
  <si>
    <t>Flame arester</t>
  </si>
  <si>
    <t xml:space="preserve">Mainly AISI 306 </t>
  </si>
  <si>
    <t xml:space="preserve">From Hydrousa </t>
  </si>
  <si>
    <t>LUPI 748 WW</t>
  </si>
  <si>
    <t>https://www.lupicm.it/eng/files/Arrestatori-di-fiamma---Flame-Arresters.pdf</t>
  </si>
  <si>
    <t>Activated carbon filter</t>
  </si>
  <si>
    <t xml:space="preserve">Activated carbon : 400 kg </t>
  </si>
  <si>
    <t xml:space="preserve">Upscaled from Hydrousa (very simplicistic way) </t>
  </si>
  <si>
    <t>Biogas production</t>
  </si>
  <si>
    <t>Biogas : 192 m3/d
CH4 : 113,6 m3/d</t>
  </si>
  <si>
    <t>Inspired from hydrousa</t>
  </si>
  <si>
    <t>Biogas flowmeter</t>
  </si>
  <si>
    <t>PVC</t>
  </si>
  <si>
    <t xml:space="preserve">RITTER TG 50 </t>
  </si>
  <si>
    <t>https://www.ritter.de/it/download/tg-50-plastic/</t>
  </si>
  <si>
    <t xml:space="preserve">Redox Sensor </t>
  </si>
  <si>
    <t xml:space="preserve">Sensors </t>
  </si>
  <si>
    <t>-</t>
  </si>
  <si>
    <t>Primary (pilot)</t>
  </si>
  <si>
    <t>Sludge production</t>
  </si>
  <si>
    <t>Sludge</t>
  </si>
  <si>
    <t xml:space="preserve">
kg SS /d</t>
  </si>
  <si>
    <t xml:space="preserve">Upscaled from Hydrousa </t>
  </si>
  <si>
    <t>Tank for sludge storage</t>
  </si>
  <si>
    <t xml:space="preserve">HDPE </t>
  </si>
  <si>
    <t>1 tank of 4000 L</t>
  </si>
  <si>
    <t>https://www.drainstore.com/septic-sewage-storage/septic-tanks-and-cesspools/septic-tanks-up-to-4600-litres/premier-tech-aqua-septic-tank-4000-litre-low-profile-hdpe/</t>
  </si>
  <si>
    <t xml:space="preserve">Dewatering </t>
  </si>
  <si>
    <t>ID</t>
  </si>
  <si>
    <t xml:space="preserve">Position </t>
  </si>
  <si>
    <t>FORNITORE</t>
  </si>
  <si>
    <t>MODELLO</t>
  </si>
  <si>
    <t>Range di PROGETTO</t>
  </si>
  <si>
    <t>Riserva</t>
  </si>
  <si>
    <t>Q.tà</t>
  </si>
  <si>
    <t>Potenza kW</t>
  </si>
  <si>
    <t>Tempo - h</t>
  </si>
  <si>
    <t>kW/gg.</t>
  </si>
  <si>
    <t>B-01</t>
  </si>
  <si>
    <t>B</t>
  </si>
  <si>
    <t>UASB biogas meter</t>
  </si>
  <si>
    <t>RITTER</t>
  </si>
  <si>
    <t>TG05/5</t>
  </si>
  <si>
    <t>0.25-0.45m3/d --- (1-60 lt/h)</t>
  </si>
  <si>
    <t>F-01</t>
  </si>
  <si>
    <t>Electromagnetic flow meter for UASB inlet</t>
  </si>
  <si>
    <t>KOBOLD</t>
  </si>
  <si>
    <t>MIM-1205HG4C3T0</t>
  </si>
  <si>
    <t>2-10 m3/d</t>
  </si>
  <si>
    <t>F-02</t>
  </si>
  <si>
    <t>Electromagnetic flow meter for UASB recirculation</t>
  </si>
  <si>
    <t>8-12 m3/d</t>
  </si>
  <si>
    <t>L-02</t>
  </si>
  <si>
    <t>UASB downstream accumulation level meter T02</t>
  </si>
  <si>
    <t>SIEMENS</t>
  </si>
  <si>
    <t>SITRANS PROBE LU240</t>
  </si>
  <si>
    <t>M-02</t>
  </si>
  <si>
    <t>Mixer in UASB downstream accumulation T02</t>
  </si>
  <si>
    <t>ELCOS</t>
  </si>
  <si>
    <t>rpm 90 - L. alb. 1100 mm - Elica Ø 400 mm</t>
  </si>
  <si>
    <t>0.55 kW</t>
  </si>
  <si>
    <t>Inlet pump</t>
  </si>
  <si>
    <t>SYDEX</t>
  </si>
  <si>
    <t>BM 015-2S-G5-220-L1AA-E/G</t>
  </si>
  <si>
    <t>1.8-3.5 m3/d --- (15-150 lt/h)</t>
  </si>
  <si>
    <t>P-02</t>
  </si>
  <si>
    <t>Internal UASB recirculation pump</t>
  </si>
  <si>
    <t>BK 015-1L-G5-220-L1AA-E/G</t>
  </si>
  <si>
    <t>8-12 m3/d --- (200-500 lt/h)</t>
  </si>
  <si>
    <t>P-03</t>
  </si>
  <si>
    <t>Inlet pump filter and/or membrane</t>
  </si>
  <si>
    <t>BM 9S3-A6-F220-F1BA-B/G</t>
  </si>
  <si>
    <t>1.8-2.5 m3/d  --- (35-105 lt/h)</t>
  </si>
  <si>
    <t>T-02</t>
  </si>
  <si>
    <t>UASB downstream accumulation</t>
  </si>
  <si>
    <t>ASTRO</t>
  </si>
  <si>
    <t>PE - Troncoconico 1 mc</t>
  </si>
  <si>
    <t>TCO 11/L STAND. LT 1000 + TELAIO</t>
  </si>
  <si>
    <t>--</t>
  </si>
  <si>
    <t>Acciaio Inox Aisi304</t>
  </si>
  <si>
    <t>Resistenza 4285W - Tensione 230 V</t>
  </si>
  <si>
    <t xml:space="preserve">Upscaled </t>
  </si>
  <si>
    <t>0,6  m3/d</t>
  </si>
  <si>
    <t>3 m2</t>
  </si>
  <si>
    <t>Value (m3)</t>
  </si>
  <si>
    <t>C-01, C-02, C-03, C-04</t>
  </si>
  <si>
    <t xml:space="preserve">Air Compressor </t>
  </si>
  <si>
    <t xml:space="preserve">4 pieces of  </t>
  </si>
  <si>
    <t>P10, P12, P13</t>
  </si>
  <si>
    <t xml:space="preserve">Pumps </t>
  </si>
  <si>
    <t xml:space="preserve">3 piece of 22 kW - Ecoinvent </t>
  </si>
  <si>
    <t>Pipes</t>
  </si>
  <si>
    <t>Production of pipes until packaging of the finished product</t>
  </si>
  <si>
    <t>VAS-01, VAS-02, VAS.03, VAS-03</t>
  </si>
  <si>
    <t xml:space="preserve">HDPE geomembrane </t>
  </si>
  <si>
    <t xml:space="preserve">Excavation with hydraulic digger + geomembranes + substrate </t>
  </si>
  <si>
    <t>VAS-01, VAS-02, VAS.03, VAS-04</t>
  </si>
  <si>
    <t xml:space="preserve">Excavation </t>
  </si>
  <si>
    <t>m3</t>
  </si>
  <si>
    <t>VAS-01, VAS-02, VAS.03, VAS-05</t>
  </si>
  <si>
    <t>Sand</t>
  </si>
  <si>
    <t>Substrate</t>
  </si>
  <si>
    <t>VAS-01, VAS-02, VAS.03, VAS-06</t>
  </si>
  <si>
    <t>Pumice</t>
  </si>
  <si>
    <t>VAS-01, VAS-02, VAS.03, VAS-07</t>
  </si>
  <si>
    <t>Perlite</t>
  </si>
  <si>
    <t>VAS-01, VAS-02, VAS.03, VAS-08</t>
  </si>
  <si>
    <t>Vermiculite</t>
  </si>
  <si>
    <t>VAS-01, VAS-02, VAS.03, VAS-09</t>
  </si>
  <si>
    <t>Cork</t>
  </si>
  <si>
    <t>VAS-01, VAS-02, VAS.03, VAS-10</t>
  </si>
  <si>
    <t>Gravel</t>
  </si>
  <si>
    <t xml:space="preserve">Emissions  </t>
  </si>
  <si>
    <t>IPCC, 2013</t>
  </si>
  <si>
    <t xml:space="preserve">Methane. Biogenic </t>
  </si>
  <si>
    <t xml:space="preserve">Dinitrogen Monoxide </t>
  </si>
  <si>
    <t>Economic Allocation (1OO%)</t>
  </si>
  <si>
    <t>4 industrial compressor 75 kW</t>
  </si>
  <si>
    <t>https://www.denair.net/screw_air_compressor/belt_direct-driven_air_compressor.html</t>
  </si>
  <si>
    <t xml:space="preserve">Upscaled hypothesis </t>
  </si>
  <si>
    <t xml:space="preserve">Garcìa-Herrero et al., </t>
  </si>
  <si>
    <t>t</t>
  </si>
  <si>
    <t>kg /yr</t>
  </si>
  <si>
    <t xml:space="preserve">Acquisition Costs </t>
  </si>
  <si>
    <t>Note</t>
  </si>
  <si>
    <t>Depur Systems SRL DS120L</t>
  </si>
  <si>
    <t>SYDEX - TBM 9S3-A6-F220-F1BA-B/G</t>
  </si>
  <si>
    <t>9.90 per 75 m</t>
  </si>
  <si>
    <t>Excavation and waterproofing</t>
  </si>
  <si>
    <t xml:space="preserve"> (Garcìa Herrero et al., 2023)</t>
  </si>
  <si>
    <t>37,80 euro for 14 QL</t>
  </si>
  <si>
    <t>41 euro for 9 kg</t>
  </si>
  <si>
    <t>33.000 /ha</t>
  </si>
  <si>
    <t xml:space="preserve">Operational Costs  </t>
  </si>
  <si>
    <t>Sludge Disposal</t>
  </si>
  <si>
    <t>Total</t>
  </si>
  <si>
    <t>Maintenance</t>
  </si>
  <si>
    <t>Disposal Costs</t>
  </si>
  <si>
    <t>2013 Supplement to the 2006 IPCC Guidelines for National Greenhouse Gas Inventories: Wetlands (Chapter 6)</t>
  </si>
  <si>
    <t>CH4 Emission (kg CH4/yr)</t>
  </si>
  <si>
    <t>TOWj (kg COD/year)</t>
  </si>
  <si>
    <t>EFj(kg CH4/kg COD)</t>
  </si>
  <si>
    <t>CODj (kg COD/m3)</t>
  </si>
  <si>
    <t>Wj</t>
  </si>
  <si>
    <t>Bo (kg CH4/kg COD)</t>
  </si>
  <si>
    <t>MCFj</t>
  </si>
  <si>
    <t xml:space="preserve">N20 Emissions </t>
  </si>
  <si>
    <t>Efj (kg N2O-N/kg N)</t>
  </si>
  <si>
    <t>Nj (kg N/yr)</t>
  </si>
  <si>
    <t xml:space="preserve">Emission Factor (Data given by IPCC) </t>
  </si>
  <si>
    <t>CH4</t>
  </si>
  <si>
    <t>N2O</t>
  </si>
  <si>
    <t>Area(m2)</t>
  </si>
  <si>
    <t>MCF</t>
  </si>
  <si>
    <t>HSSF</t>
  </si>
  <si>
    <t xml:space="preserve">here you can change area </t>
  </si>
  <si>
    <t>VSSF</t>
  </si>
  <si>
    <t>Tot Area</t>
  </si>
  <si>
    <t xml:space="preserve">IPCC guidlines: 0,6 kg CH4/kg BOD for domestic water or 0.25 kg CH4/kg BOD for industial </t>
  </si>
  <si>
    <t>Average Flow Rate of CW</t>
  </si>
  <si>
    <t>m3/day</t>
  </si>
  <si>
    <t xml:space="preserve">here you can change flowrate </t>
  </si>
  <si>
    <t>quantity of COD, N enetering in the CW</t>
  </si>
  <si>
    <t xml:space="preserve">CODij </t>
  </si>
  <si>
    <t>kg/m3</t>
  </si>
  <si>
    <t>here you can change parameter of COD and N entering</t>
  </si>
  <si>
    <t>Tot Nij</t>
  </si>
  <si>
    <t>low</t>
  </si>
  <si>
    <t>medium</t>
  </si>
  <si>
    <t>high</t>
  </si>
  <si>
    <t>N (mg/l) entering in UASB</t>
  </si>
  <si>
    <t xml:space="preserve">Abatement Level </t>
  </si>
  <si>
    <t>N removed (mg/l)</t>
  </si>
  <si>
    <t>N entering in CW (mg/l)</t>
  </si>
  <si>
    <t>COD (mg/l) entering in UASB</t>
  </si>
  <si>
    <t>Abatement level(%)</t>
  </si>
  <si>
    <t>COD removed (mg/l)</t>
  </si>
  <si>
    <t>COD entering in CW (mg/L)</t>
  </si>
  <si>
    <t>0,01  m3/d</t>
  </si>
  <si>
    <t>Tanks LLDPE (2)</t>
  </si>
  <si>
    <t>P</t>
  </si>
  <si>
    <t xml:space="preserve">PMMA reactor </t>
  </si>
  <si>
    <t>p</t>
  </si>
  <si>
    <t xml:space="preserve">Pump (2) </t>
  </si>
  <si>
    <t xml:space="preserve">for 15 gr of MIPs </t>
  </si>
  <si>
    <t>deionized water</t>
  </si>
  <si>
    <t>CHLORIDE ACID (HCl) 1M</t>
  </si>
  <si>
    <t>g</t>
  </si>
  <si>
    <t>methaacrylic acid (MAA)</t>
  </si>
  <si>
    <t>ethylene glycol dimethacrylate (EGDMA)</t>
  </si>
  <si>
    <t>AIBN (initiator)</t>
  </si>
  <si>
    <t>acetonitrile</t>
  </si>
  <si>
    <t>methanol</t>
  </si>
  <si>
    <t>acetic acid</t>
  </si>
  <si>
    <t xml:space="preserve">Sand </t>
  </si>
  <si>
    <t>t/yr</t>
  </si>
  <si>
    <t xml:space="preserve">every 4 days </t>
  </si>
  <si>
    <t>Output</t>
  </si>
  <si>
    <t>acidic water</t>
  </si>
  <si>
    <t xml:space="preserve">hazardous waste </t>
  </si>
  <si>
    <t>Methanol</t>
  </si>
  <si>
    <t xml:space="preserve">Pump </t>
  </si>
  <si>
    <t>4 column that work in alternance</t>
  </si>
  <si>
    <t>Upscaled hypothesis</t>
  </si>
  <si>
    <t>same as UASB</t>
  </si>
  <si>
    <t xml:space="preserve">Column (4) </t>
  </si>
  <si>
    <t>See MIPs_Up_Hyp</t>
  </si>
  <si>
    <t xml:space="preserve">* The other compnents were considered not relevant for the total impacts </t>
  </si>
  <si>
    <t>kW/yr</t>
  </si>
  <si>
    <t>l/year</t>
  </si>
  <si>
    <t>4,75 gr/d</t>
  </si>
  <si>
    <t>gr/year</t>
  </si>
  <si>
    <t>g/year</t>
  </si>
  <si>
    <t>kg/year</t>
  </si>
  <si>
    <t xml:space="preserve">Assumed the same of UASB </t>
  </si>
  <si>
    <t>Oven</t>
  </si>
  <si>
    <t xml:space="preserve">Sigma-Aldrich </t>
  </si>
  <si>
    <t>hemispheric bowl (in aluminium)</t>
  </si>
  <si>
    <t>Ultrasonic baths</t>
  </si>
  <si>
    <t xml:space="preserve">Hotplate </t>
  </si>
  <si>
    <t xml:space="preserve">Ball valves </t>
  </si>
  <si>
    <t>Hydraulic Reducers (2)</t>
  </si>
  <si>
    <t>Pressure meters (2)</t>
  </si>
  <si>
    <t xml:space="preserve">Ebara </t>
  </si>
  <si>
    <t>g/yr</t>
  </si>
  <si>
    <t>LCC (€/l)</t>
  </si>
  <si>
    <t>14.52 €/l</t>
  </si>
  <si>
    <t>13.4 €/l</t>
  </si>
  <si>
    <t xml:space="preserve">Porous stone </t>
  </si>
  <si>
    <t xml:space="preserve">1 for week </t>
  </si>
  <si>
    <t xml:space="preserve">Hazardous Waste </t>
  </si>
  <si>
    <t>250 euro/t</t>
  </si>
  <si>
    <t xml:space="preserve">Maintenance </t>
  </si>
  <si>
    <t xml:space="preserve">Municipal Waste </t>
  </si>
  <si>
    <t>55 euro/t</t>
  </si>
  <si>
    <t xml:space="preserve">Hazrodus waste </t>
  </si>
  <si>
    <t xml:space="preserve">Operational Phase MIPs </t>
  </si>
  <si>
    <t>Synthesis MIPs</t>
  </si>
  <si>
    <t xml:space="preserve">Compound </t>
  </si>
  <si>
    <t xml:space="preserve">Pilot </t>
  </si>
  <si>
    <t xml:space="preserve">Cost </t>
  </si>
  <si>
    <t>Cost (€/d)</t>
  </si>
  <si>
    <t xml:space="preserve">Pilot Scale </t>
  </si>
  <si>
    <t>DICLOFENAC</t>
  </si>
  <si>
    <t>Parameter</t>
  </si>
  <si>
    <t>Deionized Water</t>
  </si>
  <si>
    <t>l</t>
  </si>
  <si>
    <t>Sigma Aldrich</t>
  </si>
  <si>
    <t xml:space="preserve">€/l </t>
  </si>
  <si>
    <t>DCF</t>
  </si>
  <si>
    <t>mg/L</t>
  </si>
  <si>
    <t xml:space="preserve">50 microgram/L </t>
  </si>
  <si>
    <t>https://www.sciencedirect.com/science/article/pii/S2213343716303335?via%3Dihub</t>
  </si>
  <si>
    <t>Chloride Acid</t>
  </si>
  <si>
    <t>ml</t>
  </si>
  <si>
    <t>Time of exhaustion</t>
  </si>
  <si>
    <t>min</t>
  </si>
  <si>
    <t xml:space="preserve">DCF in the column </t>
  </si>
  <si>
    <t xml:space="preserve">mg </t>
  </si>
  <si>
    <t>MAA</t>
  </si>
  <si>
    <t>€/g</t>
  </si>
  <si>
    <t>MIPs Mass</t>
  </si>
  <si>
    <t>d</t>
  </si>
  <si>
    <t>EGDMA</t>
  </si>
  <si>
    <t>Column Volume</t>
  </si>
  <si>
    <t xml:space="preserve">For 1 column </t>
  </si>
  <si>
    <t>AIBN</t>
  </si>
  <si>
    <t>Treated Volume of Water</t>
  </si>
  <si>
    <t xml:space="preserve">Mips Mass (total) </t>
  </si>
  <si>
    <t>Acetonitrile</t>
  </si>
  <si>
    <t>Flow Rate</t>
  </si>
  <si>
    <t>l/h</t>
  </si>
  <si>
    <t>hypo 4 column = 33 m3</t>
  </si>
  <si>
    <t>Max Adsoprtion</t>
  </si>
  <si>
    <t>mg/g</t>
  </si>
  <si>
    <t>,</t>
  </si>
  <si>
    <t xml:space="preserve">Acetic Acid </t>
  </si>
  <si>
    <t>Time in the column</t>
  </si>
  <si>
    <t>m3/h</t>
  </si>
  <si>
    <t>Waste</t>
  </si>
  <si>
    <t>Upscaled</t>
  </si>
  <si>
    <t>MIPs (Column)</t>
  </si>
  <si>
    <t xml:space="preserve">Column </t>
  </si>
  <si>
    <t>4 columns that work in alternance</t>
  </si>
  <si>
    <t xml:space="preserve">MIPs (g/d)  </t>
  </si>
  <si>
    <t>4 columns</t>
  </si>
  <si>
    <t>Cycles (Regeneration)</t>
  </si>
  <si>
    <t xml:space="preserve">n </t>
  </si>
  <si>
    <t xml:space="preserve">MIPs lifetime </t>
  </si>
  <si>
    <t xml:space="preserve">d </t>
  </si>
  <si>
    <t xml:space="preserve">Parameter </t>
  </si>
  <si>
    <t xml:space="preserve">Upscale </t>
  </si>
  <si>
    <t>Energy consumption for synthesis of 15g MIP :</t>
  </si>
  <si>
    <t xml:space="preserve">Flowrate </t>
  </si>
  <si>
    <t>l/h - m3/h</t>
  </si>
  <si>
    <t xml:space="preserve">Element </t>
  </si>
  <si>
    <t>Time (h)</t>
  </si>
  <si>
    <t>Power (W)</t>
  </si>
  <si>
    <t>Energy consumption (kWh)</t>
  </si>
  <si>
    <t>Source type</t>
  </si>
  <si>
    <t>MIPs usage per h</t>
  </si>
  <si>
    <t>g/cycle</t>
  </si>
  <si>
    <t>https://www.thermofisher.com/document-connect/document-connect.html?url=https%3A%2F%2Fassets.thermofisher.com%2FTFS-Assets%2FLED%2Fmanuals%2FD01663~.pdf</t>
  </si>
  <si>
    <t>MIPs usage per day</t>
  </si>
  <si>
    <t xml:space="preserve">Oven </t>
  </si>
  <si>
    <t>https://www.thermofisher.com/document-connect/document-connect.html?url=https%3A%2F%2Fassets.thermofisher.com%2FTFS-Assets%2FLED%2Fmanuals%2FD01712~.pdf</t>
  </si>
  <si>
    <t>MIPs usage per liter</t>
  </si>
  <si>
    <t xml:space="preserve">g/l </t>
  </si>
  <si>
    <t xml:space="preserve">Energy (kWh/g MIPs) </t>
  </si>
  <si>
    <t xml:space="preserve">Energy (kWh/d) </t>
  </si>
  <si>
    <t>Sand Volume (%)</t>
  </si>
  <si>
    <t>%</t>
  </si>
  <si>
    <t>Energy (KWh/year)</t>
  </si>
  <si>
    <t xml:space="preserve">Sand Volume </t>
  </si>
  <si>
    <t xml:space="preserve">Sand denisty </t>
  </si>
  <si>
    <t xml:space="preserve">Column Volume </t>
  </si>
  <si>
    <t xml:space="preserve">Sand Mass (per column) </t>
  </si>
  <si>
    <t xml:space="preserve">Sand Mass (in total) </t>
  </si>
  <si>
    <t xml:space="preserve">Sand Mass (per day) </t>
  </si>
  <si>
    <t>kg/d</t>
  </si>
  <si>
    <t xml:space="preserve">Regeneration Process </t>
  </si>
  <si>
    <t xml:space="preserve">Cylces </t>
  </si>
  <si>
    <t>n</t>
  </si>
  <si>
    <t xml:space="preserve">up to 12 cycles according to this paper (sensitivity analysis parameter?) </t>
  </si>
  <si>
    <t xml:space="preserve">Sorbent </t>
  </si>
  <si>
    <t>Methanole:Hac (9:1)</t>
  </si>
  <si>
    <t>Methanole</t>
  </si>
  <si>
    <t xml:space="preserve">for 3,92 d </t>
  </si>
  <si>
    <t>Value</t>
  </si>
  <si>
    <t xml:space="preserve">Sand Mass </t>
  </si>
  <si>
    <t xml:space="preserve">kg/d </t>
  </si>
  <si>
    <t>l/d</t>
  </si>
  <si>
    <t xml:space="preserve">l/d </t>
  </si>
  <si>
    <t xml:space="preserve"> </t>
  </si>
  <si>
    <t>Impact Category</t>
  </si>
  <si>
    <t>ACW</t>
  </si>
  <si>
    <t>MIPs</t>
  </si>
  <si>
    <t>Acidification</t>
  </si>
  <si>
    <t>Climate change</t>
  </si>
  <si>
    <t>Ecotoxicity, freshwater</t>
  </si>
  <si>
    <t>Particulate matter</t>
  </si>
  <si>
    <t>Eutrophication, marine</t>
  </si>
  <si>
    <t>Eutrophication, freshwater</t>
  </si>
  <si>
    <t>Eutrophication, terrestrial</t>
  </si>
  <si>
    <t>Human toxicity, cancer</t>
  </si>
  <si>
    <t>Human toxicity, non-cancer</t>
  </si>
  <si>
    <t>Ionising radiation</t>
  </si>
  <si>
    <t>Land use</t>
  </si>
  <si>
    <t>Ozone depletion</t>
  </si>
  <si>
    <t>Photochemical ozone formation</t>
  </si>
  <si>
    <t>Resource use, fossils</t>
  </si>
  <si>
    <t>Resource use, minerals and metals</t>
  </si>
  <si>
    <t>Water use</t>
  </si>
  <si>
    <t>Totale</t>
  </si>
  <si>
    <t xml:space="preserve">Impact Category </t>
  </si>
  <si>
    <t xml:space="preserve">GAC </t>
  </si>
  <si>
    <t xml:space="preserve">Other </t>
  </si>
  <si>
    <t>Emissions</t>
  </si>
  <si>
    <t>MIPs Synthesis</t>
  </si>
  <si>
    <t>Waste Disposal</t>
  </si>
  <si>
    <t xml:space="preserve">Crop   </t>
  </si>
  <si>
    <t xml:space="preserve">Total Area </t>
  </si>
  <si>
    <t xml:space="preserve">Production (q) </t>
  </si>
  <si>
    <t xml:space="preserve">Yield (t/ha) </t>
  </si>
  <si>
    <t>Water requirements (m3/ha)</t>
  </si>
  <si>
    <t>Area irrigated</t>
  </si>
  <si>
    <t>Water produced (6 months)</t>
  </si>
  <si>
    <t>Tomatoes</t>
  </si>
  <si>
    <t xml:space="preserve">Sorgo  </t>
  </si>
  <si>
    <t xml:space="preserve">Girasole  </t>
  </si>
  <si>
    <t xml:space="preserve">Barbabietola da zucchero  </t>
  </si>
  <si>
    <t xml:space="preserve">BAU Scenario </t>
  </si>
  <si>
    <t xml:space="preserve">WR Scenario </t>
  </si>
  <si>
    <t>Irrigation</t>
  </si>
  <si>
    <t>Water Reuse</t>
  </si>
  <si>
    <t>Input</t>
  </si>
  <si>
    <t>Water</t>
  </si>
  <si>
    <t>EF irr</t>
  </si>
  <si>
    <t>FAO, 1989</t>
  </si>
  <si>
    <t>ET irr</t>
  </si>
  <si>
    <t>Pfister et al., 2011</t>
  </si>
  <si>
    <t>Water to air</t>
  </si>
  <si>
    <t>Water to Surface Water</t>
  </si>
  <si>
    <t xml:space="preserve">Water to Ground Water </t>
  </si>
  <si>
    <t>Damage category</t>
  </si>
  <si>
    <t>Tomatoes Production (No Reuse)</t>
  </si>
  <si>
    <t>WW Discharge</t>
  </si>
  <si>
    <t>Irrigation GW</t>
  </si>
  <si>
    <t xml:space="preserve">Scenario </t>
  </si>
  <si>
    <t>Processing Tomatoes at Farm Gate</t>
  </si>
  <si>
    <t xml:space="preserve">Wastewater Discharge </t>
  </si>
  <si>
    <t>Irrigation Groundwater</t>
  </si>
  <si>
    <t>Irrigation Reused Water</t>
  </si>
  <si>
    <t>Planetary Boundaries</t>
  </si>
  <si>
    <t>Check</t>
  </si>
  <si>
    <t>mol H+ eq</t>
  </si>
  <si>
    <t xml:space="preserve">Acidification </t>
  </si>
  <si>
    <t xml:space="preserve">BAU (No Reuse) </t>
  </si>
  <si>
    <t>kg CO2 eq</t>
  </si>
  <si>
    <t>WR_1 (Reuse)</t>
  </si>
  <si>
    <t>CTUe</t>
  </si>
  <si>
    <t>WR_2 (Reuse)</t>
  </si>
  <si>
    <t>disease inc.</t>
  </si>
  <si>
    <t xml:space="preserve">Climate Change </t>
  </si>
  <si>
    <t>kg N eq</t>
  </si>
  <si>
    <t>kg P eq</t>
  </si>
  <si>
    <t>mol N eq</t>
  </si>
  <si>
    <t>Ecotoxicity, fr</t>
  </si>
  <si>
    <t>CTUh</t>
  </si>
  <si>
    <t>kBq U-235 eq</t>
  </si>
  <si>
    <t>Eutrophication, m</t>
  </si>
  <si>
    <t>Pt</t>
  </si>
  <si>
    <t>kg CFC11 eq</t>
  </si>
  <si>
    <t>kg NMVOC eq</t>
  </si>
  <si>
    <t>Eutrophication, fr</t>
  </si>
  <si>
    <t>MJ</t>
  </si>
  <si>
    <t>kg Sb eq</t>
  </si>
  <si>
    <t>m3 depriv.</t>
  </si>
  <si>
    <t xml:space="preserve">Human Toxicity, c </t>
  </si>
  <si>
    <t>WR_1</t>
  </si>
  <si>
    <t>Tomatoes Production (Reuse)</t>
  </si>
  <si>
    <t>Irrigation RW</t>
  </si>
  <si>
    <t>Human Toxicity, nc</t>
  </si>
  <si>
    <t xml:space="preserve">Water Use </t>
  </si>
  <si>
    <t>Water Use *</t>
  </si>
  <si>
    <t>Negative values due to positive water balance in the inventory as water input was not included</t>
  </si>
  <si>
    <t>Variation WR_1</t>
  </si>
  <si>
    <t>Variation WR_2</t>
  </si>
  <si>
    <t xml:space="preserve">Human Toxicity, carcinogenic </t>
  </si>
  <si>
    <t>Ecotixicity Freshwater</t>
  </si>
  <si>
    <t xml:space="preserve">Freshwater Eutrophication </t>
  </si>
  <si>
    <t xml:space="preserve">Marine Eutrophication </t>
  </si>
  <si>
    <t>Human Toxicity, non carcinogenic</t>
  </si>
  <si>
    <t>Water Use</t>
  </si>
  <si>
    <t>WR_2</t>
  </si>
  <si>
    <t xml:space="preserve">Upscaled LCC - Primary and Secondary Treatment </t>
  </si>
  <si>
    <t>Lifespan</t>
  </si>
  <si>
    <t>year</t>
  </si>
  <si>
    <t>TOTAL</t>
  </si>
  <si>
    <r>
      <t>m</t>
    </r>
    <r>
      <rPr>
        <vertAlign val="superscript"/>
        <sz val="11"/>
        <color theme="1"/>
        <rFont val="Times New Roman"/>
        <family val="1"/>
      </rPr>
      <t>3</t>
    </r>
  </si>
  <si>
    <t>Without any subsidises</t>
  </si>
  <si>
    <r>
      <t>€/m</t>
    </r>
    <r>
      <rPr>
        <vertAlign val="superscript"/>
        <sz val="11"/>
        <color theme="1"/>
        <rFont val="Times New Roman"/>
        <family val="1"/>
      </rPr>
      <t>3</t>
    </r>
  </si>
  <si>
    <t xml:space="preserve">Without Grants </t>
  </si>
  <si>
    <t>HYPOTHESIS CAPEX</t>
  </si>
  <si>
    <t>CAPEX</t>
  </si>
  <si>
    <t xml:space="preserve">Supply &amp; Works </t>
  </si>
  <si>
    <t xml:space="preserve">Contingencies </t>
  </si>
  <si>
    <t xml:space="preserve">% Supply &amp; Works </t>
  </si>
  <si>
    <t xml:space="preserve">Study &amp; Project Management </t>
  </si>
  <si>
    <t>Annuity Numbers</t>
  </si>
  <si>
    <t>Interst rate</t>
  </si>
  <si>
    <t xml:space="preserve">Lifesapn </t>
  </si>
  <si>
    <t xml:space="preserve">Constant Annuity </t>
  </si>
  <si>
    <t>HYPOTHESES OPEX</t>
  </si>
  <si>
    <t>Treated Volume</t>
  </si>
  <si>
    <t>OPEX</t>
  </si>
  <si>
    <t>cf directly below</t>
  </si>
  <si>
    <t>Total OPEX for 1st year</t>
  </si>
  <si>
    <t>RBF=ACW</t>
  </si>
  <si>
    <t>HYPOTHESES DECOMISSIONING</t>
  </si>
  <si>
    <t xml:space="preserve">Price costs without subsidy </t>
  </si>
  <si>
    <t>Year</t>
  </si>
  <si>
    <t>CAPEX without ANY subsidy</t>
  </si>
  <si>
    <t>Decomissioning</t>
  </si>
  <si>
    <t>DISTRIBUTION</t>
  </si>
  <si>
    <t>PRICE COSTS</t>
  </si>
  <si>
    <t xml:space="preserve">Treated Volume </t>
  </si>
  <si>
    <t xml:space="preserve">Upscaled LCC - Tertiary Treatment </t>
  </si>
  <si>
    <t>MIP</t>
  </si>
  <si>
    <t>UV</t>
  </si>
  <si>
    <t>Storage</t>
  </si>
  <si>
    <t>Distribution</t>
  </si>
  <si>
    <t>Without grants</t>
  </si>
  <si>
    <t>HYPOTHESES CAPEX</t>
  </si>
  <si>
    <t>Supplies and works</t>
  </si>
  <si>
    <t>Contingencies</t>
  </si>
  <si>
    <t>% Supplies and works</t>
  </si>
  <si>
    <t>Study &amp; Project Management</t>
  </si>
  <si>
    <t>Number of annuties</t>
  </si>
  <si>
    <t>Interests Rate</t>
  </si>
  <si>
    <t>Constant Annuity</t>
  </si>
  <si>
    <t>HYPOTHESIS OPEX</t>
  </si>
  <si>
    <t>Treated volume</t>
  </si>
  <si>
    <t>m3/an</t>
  </si>
  <si>
    <t>€/an</t>
  </si>
  <si>
    <t>HYPOTHESIS DECOMISSIONING</t>
  </si>
  <si>
    <t>negligible</t>
  </si>
  <si>
    <t>COSTS PRICES WITHOUT SUBSIDIES</t>
  </si>
  <si>
    <t>YEAR</t>
  </si>
  <si>
    <t>CAPEX WITHOUT GRANTS</t>
  </si>
  <si>
    <t>COSTS</t>
  </si>
  <si>
    <t>Volume distribué</t>
  </si>
  <si>
    <t xml:space="preserve">Upscaled LCC - BAU &amp; total </t>
  </si>
  <si>
    <t>Total From m3 to kg -&gt;</t>
  </si>
  <si>
    <t>Irrigation Costs (€/ha)</t>
  </si>
  <si>
    <t>Water Reuse Costs 1 (€/ha)</t>
  </si>
  <si>
    <t>Water Reuse Costs 2 (€/ha)</t>
  </si>
  <si>
    <t xml:space="preserve">Yield (kg/ha) </t>
  </si>
  <si>
    <t>BAU Costs (€/kg)</t>
  </si>
  <si>
    <t>WR_1 Costs (€/kg)</t>
  </si>
  <si>
    <t>WR_2 Costs (€/kg)</t>
  </si>
  <si>
    <t xml:space="preserve">Source: ISMEA Mercati </t>
  </si>
  <si>
    <t>Sans subvention</t>
  </si>
  <si>
    <t xml:space="preserve">% Supply and Works </t>
  </si>
  <si>
    <t>PRICE COSTS WITHOUT SUBSIDY</t>
  </si>
  <si>
    <t>CAPEX WITHOUT SUBSIDY</t>
  </si>
  <si>
    <t xml:space="preserve"> xc </t>
  </si>
  <si>
    <r>
      <t>Low (€</t>
    </r>
    <r>
      <rPr>
        <b/>
        <vertAlign val="subscript"/>
        <sz val="11"/>
        <color rgb="FF000000"/>
        <rFont val="Times New Roman"/>
        <family val="1"/>
      </rPr>
      <t>2023</t>
    </r>
    <r>
      <rPr>
        <b/>
        <sz val="11"/>
        <color rgb="FF000000"/>
        <rFont val="Times New Roman"/>
        <family val="1"/>
      </rPr>
      <t>)</t>
    </r>
  </si>
  <si>
    <r>
      <t>Central   (€</t>
    </r>
    <r>
      <rPr>
        <b/>
        <vertAlign val="subscript"/>
        <sz val="11"/>
        <color rgb="FF000000"/>
        <rFont val="Times New Roman"/>
        <family val="1"/>
      </rPr>
      <t>2023</t>
    </r>
    <r>
      <rPr>
        <b/>
        <sz val="11"/>
        <color rgb="FF000000"/>
        <rFont val="Times New Roman"/>
        <family val="1"/>
      </rPr>
      <t>)</t>
    </r>
  </si>
  <si>
    <r>
      <t>High   (€</t>
    </r>
    <r>
      <rPr>
        <b/>
        <vertAlign val="subscript"/>
        <sz val="11"/>
        <color rgb="FF000000"/>
        <rFont val="Times New Roman"/>
        <family val="1"/>
      </rPr>
      <t>2023</t>
    </r>
    <r>
      <rPr>
        <b/>
        <sz val="11"/>
        <color rgb="FF000000"/>
        <rFont val="Times New Roman"/>
        <family val="1"/>
      </rPr>
      <t>)</t>
    </r>
  </si>
  <si>
    <t xml:space="preserve">Impact Categories </t>
  </si>
  <si>
    <r>
      <t>Low (€</t>
    </r>
    <r>
      <rPr>
        <b/>
        <vertAlign val="subscript"/>
        <sz val="11"/>
        <color rgb="FF000000"/>
        <rFont val="Times New Roman"/>
        <family val="1"/>
      </rPr>
      <t>2018</t>
    </r>
    <r>
      <rPr>
        <b/>
        <sz val="11"/>
        <color rgb="FF000000"/>
        <rFont val="Times New Roman"/>
        <family val="1"/>
      </rPr>
      <t>)</t>
    </r>
  </si>
  <si>
    <r>
      <t>Central (€</t>
    </r>
    <r>
      <rPr>
        <b/>
        <vertAlign val="subscript"/>
        <sz val="11"/>
        <color rgb="FF000000"/>
        <rFont val="Times New Roman"/>
        <family val="1"/>
      </rPr>
      <t>2018</t>
    </r>
    <r>
      <rPr>
        <b/>
        <sz val="11"/>
        <color rgb="FF000000"/>
        <rFont val="Times New Roman"/>
        <family val="1"/>
      </rPr>
      <t>)</t>
    </r>
  </si>
  <si>
    <r>
      <t>High (€</t>
    </r>
    <r>
      <rPr>
        <b/>
        <vertAlign val="subscript"/>
        <sz val="11"/>
        <color rgb="FF000000"/>
        <rFont val="Times New Roman"/>
        <family val="1"/>
      </rPr>
      <t>2018</t>
    </r>
    <r>
      <rPr>
        <b/>
        <sz val="11"/>
        <color rgb="FF000000"/>
        <rFont val="Times New Roman"/>
        <family val="1"/>
      </rPr>
      <t>)</t>
    </r>
  </si>
  <si>
    <t xml:space="preserve">CPI (2018) </t>
  </si>
  <si>
    <t xml:space="preserve">CPI (December 2023) </t>
  </si>
  <si>
    <t>Source: European Commission: Directorate-General for Energy, 2020, https://data.europa.eu/doi/10.2833/81390</t>
  </si>
  <si>
    <t>BAU &gt;= WR_1</t>
  </si>
  <si>
    <t>WR_1 &gt;= BAU</t>
  </si>
  <si>
    <t>BAU &gt;= WR_2</t>
  </si>
  <si>
    <t>WR_2 &gt;= BAU</t>
  </si>
  <si>
    <t xml:space="preserve">Labels </t>
  </si>
  <si>
    <t>WR_1&gt;=BAU</t>
  </si>
  <si>
    <t>WR_2&gt;=BAU</t>
  </si>
  <si>
    <t xml:space="preserve">Title: </t>
  </si>
  <si>
    <t>Uncertainty analysis of 1 kg 'BAU Scenario_tomatoes' (A) minus 1 kg 'Reuse Scenario_tomatoes' (B), 
Method: Environmental Footprint 3.1 (adapted) V1.03 / EF 3.1 normalization and weighting set , confidence interval: 95 %</t>
  </si>
  <si>
    <t xml:space="preserve">Indicator: </t>
  </si>
  <si>
    <t>Damage assessment</t>
  </si>
  <si>
    <t>A &gt;= B</t>
  </si>
  <si>
    <t>Mean</t>
  </si>
  <si>
    <t>Median</t>
  </si>
  <si>
    <t>SD</t>
  </si>
  <si>
    <t>CV</t>
  </si>
  <si>
    <t>2,5%</t>
  </si>
  <si>
    <t>97,5%</t>
  </si>
  <si>
    <t>SEM</t>
  </si>
  <si>
    <t>96,9 %</t>
  </si>
  <si>
    <t>54,9 %</t>
  </si>
  <si>
    <t>90,3 %</t>
  </si>
  <si>
    <t>80 %</t>
  </si>
  <si>
    <t>59,1 %</t>
  </si>
  <si>
    <t>400 %</t>
  </si>
  <si>
    <t>99,3 %</t>
  </si>
  <si>
    <t>55,4 %</t>
  </si>
  <si>
    <t>88,1 %</t>
  </si>
  <si>
    <t>99,5 %</t>
  </si>
  <si>
    <t>94,5 %</t>
  </si>
  <si>
    <t>66,2 %</t>
  </si>
  <si>
    <t>51 %</t>
  </si>
  <si>
    <t>3,95E3 %</t>
  </si>
  <si>
    <t>59,3 %</t>
  </si>
  <si>
    <t>551 %</t>
  </si>
  <si>
    <t>100 %</t>
  </si>
  <si>
    <t>104 %</t>
  </si>
  <si>
    <t>50,9 %</t>
  </si>
  <si>
    <t>4,54E3 %</t>
  </si>
  <si>
    <t>72,7 %</t>
  </si>
  <si>
    <t>200 %</t>
  </si>
  <si>
    <t>38,5 %</t>
  </si>
  <si>
    <t>77,6 %</t>
  </si>
  <si>
    <t>149 %</t>
  </si>
  <si>
    <t>94,3 %</t>
  </si>
  <si>
    <t>66,1 %</t>
  </si>
  <si>
    <t>98,8 %</t>
  </si>
  <si>
    <t>49,5 %</t>
  </si>
  <si>
    <t>78,8 %</t>
  </si>
  <si>
    <t>129 %</t>
  </si>
  <si>
    <t>Uncertainty analysis of 1 kg 'BAU Scenario_tomatoes' (A) minus 1 kg 'Reuse Scenario_tomatoes_NoMIPs' (B), 
Method: Environmental Footprint 3.1 (adapted) V1.03 / EF 3.1 normalization and weighting set , confidence interval: 95 %</t>
  </si>
  <si>
    <t>96,1 %</t>
  </si>
  <si>
    <t>91,1 %</t>
  </si>
  <si>
    <t>78,1 %</t>
  </si>
  <si>
    <t>55,8 %</t>
  </si>
  <si>
    <t>774 %</t>
  </si>
  <si>
    <t>56,9 %</t>
  </si>
  <si>
    <t>87,1 %</t>
  </si>
  <si>
    <t>103 %</t>
  </si>
  <si>
    <t>94,4 %</t>
  </si>
  <si>
    <t>67,1 %</t>
  </si>
  <si>
    <t>49,4 %</t>
  </si>
  <si>
    <t>1,91E4 %</t>
  </si>
  <si>
    <t>50,7 %</t>
  </si>
  <si>
    <t>1,6E4 %</t>
  </si>
  <si>
    <t>51,9 %</t>
  </si>
  <si>
    <t>3,16E3 %</t>
  </si>
  <si>
    <t>73,5 %</t>
  </si>
  <si>
    <t>195 %</t>
  </si>
  <si>
    <t>99,7 %</t>
  </si>
  <si>
    <t>36,5 %</t>
  </si>
  <si>
    <t>161 %</t>
  </si>
  <si>
    <t>94,6 %</t>
  </si>
  <si>
    <t>63,6 %</t>
  </si>
  <si>
    <t>98,6 %</t>
  </si>
  <si>
    <t>48,5 %</t>
  </si>
  <si>
    <t>79,3 %</t>
  </si>
  <si>
    <t>144 %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</si>
</sst>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000"/>
    <numFmt numFmtId="166" formatCode="#,##0.00\ &quot;€&quot;"/>
    <numFmt numFmtId="167" formatCode="0.00000"/>
    <numFmt numFmtId="168" formatCode="0.0000000"/>
    <numFmt numFmtId="169" formatCode="_-* #,##0.00\ _€_-;\-* #,##0.00\ _€_-;_-* &quot;-&quot;??\ _€_-;_-@_-"/>
    <numFmt numFmtId="170" formatCode="_-* #,##0\ [$€-40C]_-;\-* #,##0\ [$€-40C]_-;_-* &quot;-&quot;??\ [$€-40C]_-;_-@_-"/>
    <numFmt numFmtId="171" formatCode="_-* #,##0\ _€_-;\-* #,##0\ _€_-;_-* &quot;-&quot;??\ _€_-;_-@_-"/>
    <numFmt numFmtId="172" formatCode="0.0%"/>
    <numFmt numFmtId="173" formatCode="#,##0_ ;\-#,##0\ "/>
    <numFmt numFmtId="174" formatCode="0.0000"/>
  </numFmts>
  <fonts count="41">
    <font>
      <sz val="11"/>
      <color theme="1"/>
      <name val="Calibri"/>
      <family val="2"/>
      <scheme val="minor"/>
    </font>
    <font>
      <sz val="8"/>
      <name val="Calibri"/>
      <family val="2"/>
      <scheme val="minor"/>
    </font>
    <font>
      <sz val="11"/>
      <color theme="1"/>
      <name val="Calibri"/>
      <family val="2"/>
      <scheme val="minor"/>
    </font>
    <font>
      <sz val="11"/>
      <color theme="1"/>
      <name val="Times New Roman"/>
      <family val="1"/>
    </font>
    <font>
      <b/>
      <sz val="11"/>
      <color theme="8"/>
      <name val="Times New Roman"/>
      <family val="1"/>
    </font>
    <font>
      <b/>
      <sz val="11"/>
      <color theme="1"/>
      <name val="Times New Roman"/>
      <family val="1"/>
    </font>
    <font>
      <u/>
      <sz val="11"/>
      <color theme="10"/>
      <name val="Calibri"/>
      <family val="2"/>
      <scheme val="minor"/>
    </font>
    <font>
      <u/>
      <sz val="11"/>
      <color theme="10"/>
      <name val="Times New Roman"/>
      <family val="1"/>
    </font>
    <font>
      <sz val="10"/>
      <name val="Times New Roman"/>
      <family val="1"/>
    </font>
    <font>
      <i/>
      <sz val="11"/>
      <color theme="1"/>
      <name val="Times New Roman"/>
      <family val="1"/>
    </font>
    <font>
      <i/>
      <sz val="11"/>
      <color rgb="FFFF0000"/>
      <name val="Times New Roman"/>
      <family val="1"/>
    </font>
    <font>
      <sz val="11"/>
      <name val="Times New Roman"/>
      <family val="1"/>
    </font>
    <font>
      <vertAlign val="superscript"/>
      <sz val="11"/>
      <name val="Times New Roman"/>
      <family val="1"/>
    </font>
    <font>
      <vertAlign val="superscript"/>
      <sz val="11"/>
      <color theme="1"/>
      <name val="Times New Roman"/>
      <family val="1"/>
    </font>
    <font>
      <i/>
      <sz val="11"/>
      <name val="Times New Roman"/>
      <family val="1"/>
    </font>
    <font>
      <sz val="12"/>
      <name val="Times New Roman"/>
      <family val="1"/>
    </font>
    <font>
      <b/>
      <sz val="11"/>
      <color theme="1"/>
      <name val="Calibri"/>
      <family val="2"/>
      <scheme val="minor"/>
    </font>
    <font>
      <b/>
      <i/>
      <sz val="11"/>
      <color theme="1"/>
      <name val="Times New Roman"/>
      <family val="1"/>
    </font>
    <font>
      <sz val="11"/>
      <color rgb="FFFF0000"/>
      <name val="Times New Roman"/>
      <family val="1"/>
    </font>
    <font>
      <i/>
      <sz val="11"/>
      <color theme="1"/>
      <name val="Calibri"/>
      <family val="2"/>
      <scheme val="minor"/>
    </font>
    <font>
      <u/>
      <sz val="11"/>
      <color rgb="FF0563C1"/>
      <name val="Calibri"/>
      <family val="2"/>
    </font>
    <font>
      <sz val="11"/>
      <color rgb="FF000000"/>
      <name val="Times New Roman"/>
      <family val="1"/>
    </font>
    <font>
      <b/>
      <sz val="11"/>
      <color rgb="FF000000"/>
      <name val="Times New Roman"/>
      <family val="1"/>
    </font>
    <font>
      <sz val="11"/>
      <color theme="1"/>
      <name val="Calibri"/>
      <family val="2"/>
    </font>
    <font>
      <b/>
      <sz val="10"/>
      <color theme="1"/>
      <name val="Times New Roman"/>
      <family val="1"/>
    </font>
    <font>
      <sz val="10"/>
      <color theme="1"/>
      <name val="Times New Roman"/>
      <family val="1"/>
    </font>
    <font>
      <sz val="10"/>
      <color theme="1"/>
      <name val="Calibri"/>
      <family val="2"/>
      <scheme val="minor"/>
    </font>
    <font>
      <b/>
      <vertAlign val="subscript"/>
      <sz val="11"/>
      <color rgb="FF000000"/>
      <name val="Times New Roman"/>
      <family val="1"/>
    </font>
    <font>
      <sz val="11"/>
      <color rgb="FF000000"/>
      <name val="Calibri"/>
      <family val="2"/>
      <scheme val="minor"/>
    </font>
    <font>
      <i/>
      <sz val="8"/>
      <color rgb="FF000000"/>
      <name val="Times New Roman"/>
      <family val="1"/>
    </font>
    <font>
      <b/>
      <sz val="16"/>
      <color theme="1"/>
      <name val="Times New Roman"/>
      <family val="1"/>
    </font>
    <font>
      <sz val="11"/>
      <color theme="1"/>
      <name val="Times New Roman"/>
    </font>
    <font>
      <i/>
      <sz val="11"/>
      <color theme="0"/>
      <name val="Times New Roman"/>
      <family val="1"/>
    </font>
    <font>
      <sz val="11"/>
      <color theme="0"/>
      <name val="Times New Roman"/>
      <family val="1"/>
    </font>
    <font>
      <vertAlign val="superscript"/>
      <sz val="11"/>
      <color theme="0"/>
      <name val="Times New Roman"/>
      <family val="1"/>
    </font>
    <font>
      <sz val="11"/>
      <color theme="1"/>
      <name val="Calibri"/>
      <family val="2"/>
      <scheme val="minor"/>
    </font>
    <font>
      <b/>
      <sz val="36"/>
      <color theme="1"/>
      <name val="Times New Roman"/>
      <family val="1"/>
    </font>
    <font>
      <i/>
      <sz val="10"/>
      <color theme="1"/>
      <name val="Times New Roman"/>
      <family val="1"/>
    </font>
    <font>
      <b/>
      <i/>
      <sz val="10"/>
      <color theme="1"/>
      <name val="Times New Roman"/>
      <family val="1"/>
    </font>
    <font>
      <sz val="9"/>
      <color theme="1"/>
      <name val="Times New Roman"/>
      <family val="1"/>
    </font>
    <font>
      <b/>
      <sz val="12"/>
      <color theme="1"/>
      <name val="Times New Roman"/>
      <family val="1"/>
    </font>
  </fonts>
  <fills count="2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FFFF"/>
        <bgColor rgb="FF000000"/>
      </patternFill>
    </fill>
    <fill>
      <patternFill patternType="solid">
        <fgColor rgb="FFF2F2F2"/>
        <bgColor rgb="FF000000"/>
      </patternFill>
    </fill>
    <fill>
      <patternFill patternType="solid">
        <fgColor rgb="FFD19797"/>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EDDCA6"/>
        <bgColor indexed="64"/>
      </patternFill>
    </fill>
    <fill>
      <patternFill patternType="solid">
        <fgColor rgb="FF800074"/>
        <bgColor indexed="64"/>
      </patternFill>
    </fill>
    <fill>
      <patternFill patternType="solid">
        <fgColor rgb="FF00206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4.9989318521683403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2">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 fillId="0" borderId="0"/>
    <xf numFmtId="0" fontId="23" fillId="0" borderId="0"/>
    <xf numFmtId="0" fontId="35" fillId="0" borderId="0"/>
    <xf numFmtId="9" fontId="35" fillId="0" borderId="0" applyFont="0" applyFill="0" applyBorder="0" applyAlignment="0" applyProtection="0"/>
    <xf numFmtId="169" fontId="35"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cellStyleXfs>
  <cellXfs count="480">
    <xf numFmtId="0" fontId="0" fillId="0" borderId="0" xfId="0"/>
    <xf numFmtId="0" fontId="3" fillId="2" borderId="1" xfId="0" applyFont="1" applyFill="1" applyBorder="1" applyAlignment="1">
      <alignment horizontal="center" wrapText="1"/>
    </xf>
    <xf numFmtId="0" fontId="3" fillId="0" borderId="0" xfId="0" applyFont="1" applyAlignment="1">
      <alignment horizontal="center"/>
    </xf>
    <xf numFmtId="0" fontId="3" fillId="0" borderId="1" xfId="0" applyFont="1" applyBorder="1" applyAlignment="1">
      <alignment horizontal="center" wrapText="1"/>
    </xf>
    <xf numFmtId="0" fontId="3" fillId="0" borderId="0" xfId="0" applyFont="1" applyAlignment="1">
      <alignment horizontal="center" wrapText="1"/>
    </xf>
    <xf numFmtId="0" fontId="4" fillId="0" borderId="0" xfId="0" applyFont="1" applyAlignment="1">
      <alignment horizontal="center"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4" fillId="0" borderId="1" xfId="0" applyFont="1" applyBorder="1" applyAlignment="1">
      <alignment horizontal="center" wrapText="1"/>
    </xf>
    <xf numFmtId="0" fontId="3" fillId="3" borderId="0" xfId="0" applyFont="1" applyFill="1" applyAlignment="1">
      <alignment horizontal="center" wrapText="1"/>
    </xf>
    <xf numFmtId="0" fontId="3" fillId="0" borderId="0" xfId="0" applyFont="1"/>
    <xf numFmtId="0" fontId="3" fillId="0" borderId="1" xfId="0" applyFont="1" applyBorder="1"/>
    <xf numFmtId="0" fontId="3" fillId="0" borderId="1" xfId="0" applyFont="1" applyBorder="1" applyAlignment="1">
      <alignment horizontal="center"/>
    </xf>
    <xf numFmtId="2" fontId="3" fillId="0" borderId="1" xfId="0" applyNumberFormat="1" applyFont="1" applyBorder="1"/>
    <xf numFmtId="0" fontId="7" fillId="0" borderId="0" xfId="2" applyFont="1" applyFill="1" applyAlignment="1">
      <alignment vertical="center"/>
    </xf>
    <xf numFmtId="0" fontId="3" fillId="0" borderId="1" xfId="0" applyFont="1" applyBorder="1" applyAlignment="1">
      <alignment wrapText="1"/>
    </xf>
    <xf numFmtId="0" fontId="3" fillId="0" borderId="1" xfId="0" applyFont="1" applyBorder="1" applyAlignment="1">
      <alignment horizontal="right"/>
    </xf>
    <xf numFmtId="0" fontId="3" fillId="0" borderId="0" xfId="0" applyFont="1" applyAlignment="1">
      <alignment horizontal="right"/>
    </xf>
    <xf numFmtId="0" fontId="3" fillId="0" borderId="0" xfId="0" applyFont="1" applyAlignment="1">
      <alignment wrapText="1"/>
    </xf>
    <xf numFmtId="10" fontId="3" fillId="0" borderId="1" xfId="0" applyNumberFormat="1" applyFont="1" applyBorder="1"/>
    <xf numFmtId="0" fontId="5" fillId="0" borderId="1" xfId="0" applyFont="1" applyBorder="1" applyAlignment="1">
      <alignment horizontal="center" vertical="center"/>
    </xf>
    <xf numFmtId="0" fontId="5" fillId="0" borderId="1" xfId="0" applyFont="1" applyBorder="1" applyAlignment="1">
      <alignment horizontal="center" vertical="top" wrapText="1"/>
    </xf>
    <xf numFmtId="0" fontId="5" fillId="0" borderId="0" xfId="0" applyFont="1"/>
    <xf numFmtId="0" fontId="8" fillId="0" borderId="1" xfId="0" applyFont="1" applyBorder="1" applyAlignment="1">
      <alignment horizontal="left" vertical="center" indent="1"/>
    </xf>
    <xf numFmtId="10" fontId="3" fillId="0" borderId="1" xfId="1" applyNumberFormat="1" applyFont="1" applyBorder="1"/>
    <xf numFmtId="10" fontId="3" fillId="0" borderId="0" xfId="0" applyNumberFormat="1" applyFont="1"/>
    <xf numFmtId="0" fontId="3" fillId="0" borderId="0" xfId="0" applyFont="1" applyAlignment="1">
      <alignment horizontal="center" vertical="center" wrapText="1"/>
    </xf>
    <xf numFmtId="0" fontId="5" fillId="5" borderId="1" xfId="0" applyFont="1" applyFill="1" applyBorder="1" applyAlignment="1">
      <alignment horizontal="center" wrapText="1"/>
    </xf>
    <xf numFmtId="0" fontId="3" fillId="5" borderId="1" xfId="0" applyFont="1" applyFill="1" applyBorder="1" applyAlignment="1">
      <alignment horizontal="center" wrapText="1"/>
    </xf>
    <xf numFmtId="2" fontId="3" fillId="0" borderId="1" xfId="0" applyNumberFormat="1" applyFont="1" applyBorder="1" applyAlignment="1">
      <alignment horizontal="center" wrapText="1"/>
    </xf>
    <xf numFmtId="2" fontId="3" fillId="0" borderId="1" xfId="0" applyNumberFormat="1" applyFont="1" applyBorder="1" applyAlignment="1">
      <alignment horizontal="center" vertical="center" wrapText="1"/>
    </xf>
    <xf numFmtId="0" fontId="5" fillId="5" borderId="1" xfId="0" applyFont="1" applyFill="1" applyBorder="1" applyAlignment="1">
      <alignment horizontal="center" vertical="center" wrapText="1"/>
    </xf>
    <xf numFmtId="2" fontId="5" fillId="5" borderId="1" xfId="0" applyNumberFormat="1" applyFont="1" applyFill="1" applyBorder="1" applyAlignment="1">
      <alignment horizontal="center" wrapText="1"/>
    </xf>
    <xf numFmtId="0" fontId="3" fillId="6" borderId="1" xfId="0" applyFont="1" applyFill="1" applyBorder="1" applyAlignment="1">
      <alignment horizontal="center" wrapText="1"/>
    </xf>
    <xf numFmtId="2" fontId="3" fillId="0" borderId="0" xfId="0" applyNumberFormat="1" applyFont="1" applyAlignment="1">
      <alignment horizontal="center" wrapText="1"/>
    </xf>
    <xf numFmtId="0" fontId="5" fillId="6" borderId="1" xfId="0" applyFont="1" applyFill="1" applyBorder="1" applyAlignment="1">
      <alignment horizontal="center" wrapText="1"/>
    </xf>
    <xf numFmtId="2" fontId="3" fillId="6" borderId="1" xfId="0" applyNumberFormat="1" applyFont="1" applyFill="1" applyBorder="1" applyAlignment="1">
      <alignment horizontal="center" wrapText="1"/>
    </xf>
    <xf numFmtId="0" fontId="3" fillId="6" borderId="1" xfId="0" applyFont="1" applyFill="1" applyBorder="1" applyAlignment="1">
      <alignment horizontal="center" vertical="center" wrapText="1"/>
    </xf>
    <xf numFmtId="2" fontId="5" fillId="6" borderId="1" xfId="0" applyNumberFormat="1" applyFont="1" applyFill="1" applyBorder="1" applyAlignment="1">
      <alignment horizontal="center" wrapText="1"/>
    </xf>
    <xf numFmtId="0" fontId="5" fillId="6" borderId="0" xfId="0" applyFont="1" applyFill="1" applyAlignment="1">
      <alignment horizontal="center" wrapText="1"/>
    </xf>
    <xf numFmtId="2" fontId="5" fillId="6" borderId="0" xfId="0" applyNumberFormat="1" applyFont="1" applyFill="1" applyAlignment="1">
      <alignment horizontal="center" wrapText="1"/>
    </xf>
    <xf numFmtId="2" fontId="5" fillId="6" borderId="1" xfId="0" applyNumberFormat="1" applyFont="1" applyFill="1" applyBorder="1" applyAlignment="1">
      <alignment horizontal="center" vertical="center" wrapText="1"/>
    </xf>
    <xf numFmtId="2" fontId="4" fillId="0" borderId="1" xfId="0" applyNumberFormat="1" applyFont="1" applyBorder="1" applyAlignment="1">
      <alignment horizontal="center" wrapText="1"/>
    </xf>
    <xf numFmtId="2" fontId="5" fillId="0" borderId="0" xfId="0" applyNumberFormat="1" applyFont="1" applyAlignment="1">
      <alignment horizontal="center" wrapText="1"/>
    </xf>
    <xf numFmtId="2" fontId="9" fillId="0" borderId="0" xfId="0" applyNumberFormat="1" applyFont="1" applyAlignment="1">
      <alignment horizontal="center" wrapText="1"/>
    </xf>
    <xf numFmtId="0" fontId="9" fillId="0" borderId="0" xfId="0" applyFont="1" applyAlignment="1">
      <alignment horizontal="center" wrapText="1"/>
    </xf>
    <xf numFmtId="164" fontId="3" fillId="0" borderId="0" xfId="0" applyNumberFormat="1" applyFont="1" applyAlignment="1">
      <alignment horizontal="center" wrapText="1"/>
    </xf>
    <xf numFmtId="165" fontId="3" fillId="0" borderId="0" xfId="0" applyNumberFormat="1" applyFont="1" applyAlignment="1">
      <alignment horizontal="center" wrapText="1"/>
    </xf>
    <xf numFmtId="0" fontId="10" fillId="0" borderId="0" xfId="0" applyFont="1"/>
    <xf numFmtId="2" fontId="3" fillId="0" borderId="0" xfId="0" applyNumberFormat="1" applyFont="1"/>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2" fontId="11" fillId="0" borderId="0" xfId="0" applyNumberFormat="1" applyFont="1" applyAlignment="1">
      <alignment horizontal="center" vertical="center"/>
    </xf>
    <xf numFmtId="0" fontId="3" fillId="0" borderId="7" xfId="0" applyFont="1" applyBorder="1" applyAlignment="1">
      <alignment horizontal="center"/>
    </xf>
    <xf numFmtId="0" fontId="11" fillId="0" borderId="0" xfId="0" applyFont="1" applyAlignment="1">
      <alignment horizontal="center" vertical="center"/>
    </xf>
    <xf numFmtId="0" fontId="11" fillId="0" borderId="7" xfId="0" applyFont="1" applyBorder="1" applyAlignment="1">
      <alignment horizontal="center" vertical="center"/>
    </xf>
    <xf numFmtId="2" fontId="14" fillId="0" borderId="0" xfId="0" applyNumberFormat="1" applyFont="1" applyAlignment="1">
      <alignment horizontal="center" vertical="center"/>
    </xf>
    <xf numFmtId="1" fontId="11" fillId="0" borderId="0" xfId="0" applyNumberFormat="1" applyFont="1" applyAlignment="1">
      <alignment horizontal="center" vertical="center"/>
    </xf>
    <xf numFmtId="2" fontId="11" fillId="0" borderId="0" xfId="0" applyNumberFormat="1" applyFont="1" applyAlignment="1">
      <alignment horizontal="left" vertical="center"/>
    </xf>
    <xf numFmtId="0" fontId="11" fillId="0" borderId="8" xfId="0" applyFont="1" applyBorder="1" applyAlignment="1">
      <alignment horizontal="center" vertical="center"/>
    </xf>
    <xf numFmtId="2" fontId="11" fillId="0" borderId="9" xfId="0" applyNumberFormat="1" applyFont="1" applyBorder="1" applyAlignment="1">
      <alignment horizontal="center" vertical="center"/>
    </xf>
    <xf numFmtId="0" fontId="3" fillId="0" borderId="10" xfId="0" applyFont="1" applyBorder="1"/>
    <xf numFmtId="2" fontId="5" fillId="0" borderId="0" xfId="0" applyNumberFormat="1" applyFont="1"/>
    <xf numFmtId="0" fontId="5" fillId="0" borderId="11" xfId="0" applyFont="1" applyBorder="1" applyAlignment="1">
      <alignment horizontal="center"/>
    </xf>
    <xf numFmtId="0" fontId="5" fillId="0" borderId="12" xfId="0" applyFont="1" applyBorder="1" applyAlignment="1">
      <alignment horizontal="center"/>
    </xf>
    <xf numFmtId="2" fontId="5" fillId="0" borderId="12" xfId="0" applyNumberFormat="1" applyFont="1" applyBorder="1" applyAlignment="1">
      <alignment horizontal="center"/>
    </xf>
    <xf numFmtId="0" fontId="5" fillId="0" borderId="13" xfId="0" applyFont="1" applyBorder="1" applyAlignment="1">
      <alignment horizontal="center"/>
    </xf>
    <xf numFmtId="0" fontId="3" fillId="0" borderId="14" xfId="0" applyFont="1" applyBorder="1" applyAlignment="1">
      <alignment horizontal="left"/>
    </xf>
    <xf numFmtId="0" fontId="3" fillId="0" borderId="14" xfId="0" applyFont="1" applyBorder="1" applyAlignment="1">
      <alignment horizontal="center"/>
    </xf>
    <xf numFmtId="2" fontId="3" fillId="0" borderId="14" xfId="0" applyNumberFormat="1" applyFont="1" applyBorder="1" applyAlignment="1">
      <alignment horizontal="center"/>
    </xf>
    <xf numFmtId="0" fontId="3" fillId="0" borderId="14" xfId="0" applyFont="1" applyBorder="1"/>
    <xf numFmtId="0" fontId="7" fillId="0" borderId="14" xfId="2" applyFont="1" applyFill="1" applyBorder="1" applyAlignment="1">
      <alignment horizontal="left"/>
    </xf>
    <xf numFmtId="0" fontId="3" fillId="0" borderId="15" xfId="0" applyFont="1" applyBorder="1" applyAlignment="1">
      <alignment horizontal="left"/>
    </xf>
    <xf numFmtId="0" fontId="3" fillId="0" borderId="1" xfId="0" applyFont="1" applyBorder="1" applyAlignment="1">
      <alignment horizontal="left"/>
    </xf>
    <xf numFmtId="2" fontId="3" fillId="0" borderId="1" xfId="0" applyNumberFormat="1" applyFont="1" applyBorder="1" applyAlignment="1">
      <alignment horizontal="center"/>
    </xf>
    <xf numFmtId="0" fontId="7" fillId="0" borderId="16" xfId="2" applyFont="1" applyFill="1" applyBorder="1" applyAlignment="1">
      <alignment horizontal="left"/>
    </xf>
    <xf numFmtId="2" fontId="3" fillId="0" borderId="0" xfId="0" applyNumberFormat="1" applyFont="1" applyAlignment="1">
      <alignment horizontal="center"/>
    </xf>
    <xf numFmtId="0" fontId="3" fillId="0" borderId="16" xfId="0" applyFont="1" applyBorder="1" applyAlignment="1">
      <alignment horizontal="left"/>
    </xf>
    <xf numFmtId="0" fontId="7" fillId="0" borderId="1" xfId="2" applyFont="1" applyFill="1" applyBorder="1" applyAlignment="1">
      <alignment horizontal="left"/>
    </xf>
    <xf numFmtId="0" fontId="7" fillId="0" borderId="16" xfId="2" applyFont="1" applyFill="1" applyBorder="1" applyAlignment="1">
      <alignment horizontal="center" wrapText="1"/>
    </xf>
    <xf numFmtId="0" fontId="3" fillId="0" borderId="16" xfId="0" applyFont="1" applyBorder="1"/>
    <xf numFmtId="0" fontId="7" fillId="0" borderId="16" xfId="2" applyFont="1" applyFill="1" applyBorder="1"/>
    <xf numFmtId="0" fontId="3" fillId="0" borderId="1" xfId="0" applyFont="1" applyBorder="1" applyAlignment="1">
      <alignment horizontal="center" vertical="center"/>
    </xf>
    <xf numFmtId="0" fontId="3" fillId="0" borderId="17" xfId="0" applyFont="1" applyBorder="1" applyAlignment="1">
      <alignment horizontal="left"/>
    </xf>
    <xf numFmtId="0" fontId="3" fillId="0" borderId="2" xfId="0" applyFont="1" applyBorder="1" applyAlignment="1">
      <alignment horizontal="center"/>
    </xf>
    <xf numFmtId="2" fontId="3" fillId="0" borderId="2" xfId="0" applyNumberFormat="1" applyFont="1" applyBorder="1" applyAlignment="1">
      <alignment horizontal="center" wrapText="1"/>
    </xf>
    <xf numFmtId="0" fontId="3" fillId="0" borderId="2" xfId="0" applyFont="1" applyBorder="1" applyAlignment="1">
      <alignment horizontal="center" wrapText="1"/>
    </xf>
    <xf numFmtId="0" fontId="3" fillId="0" borderId="2" xfId="0" applyFont="1" applyBorder="1"/>
    <xf numFmtId="0" fontId="3" fillId="0" borderId="18" xfId="0" applyFont="1" applyBorder="1"/>
    <xf numFmtId="0" fontId="3" fillId="0" borderId="19" xfId="0" applyFont="1" applyBorder="1" applyAlignment="1">
      <alignment horizontal="left"/>
    </xf>
    <xf numFmtId="0" fontId="3" fillId="0" borderId="20" xfId="0" applyFont="1" applyBorder="1" applyAlignment="1">
      <alignment horizontal="center"/>
    </xf>
    <xf numFmtId="2" fontId="3" fillId="0" borderId="20" xfId="0" applyNumberFormat="1" applyFont="1" applyBorder="1"/>
    <xf numFmtId="0" fontId="3" fillId="0" borderId="20" xfId="0" applyFont="1" applyBorder="1"/>
    <xf numFmtId="0" fontId="3" fillId="0" borderId="21" xfId="0" applyFont="1" applyBorder="1"/>
    <xf numFmtId="0" fontId="15" fillId="0" borderId="1" xfId="0" applyFont="1" applyBorder="1"/>
    <xf numFmtId="0" fontId="7" fillId="0" borderId="22" xfId="2" applyFont="1" applyFill="1" applyBorder="1" applyAlignment="1">
      <alignment horizontal="left"/>
    </xf>
    <xf numFmtId="4" fontId="15" fillId="0" borderId="1" xfId="0" applyNumberFormat="1" applyFont="1" applyBorder="1"/>
    <xf numFmtId="0" fontId="3" fillId="7" borderId="1" xfId="0" applyFont="1" applyFill="1" applyBorder="1"/>
    <xf numFmtId="0" fontId="3" fillId="7" borderId="0" xfId="0" applyFont="1" applyFill="1"/>
    <xf numFmtId="0" fontId="6" fillId="0" borderId="0" xfId="2" applyAlignment="1">
      <alignment horizontal="center"/>
    </xf>
    <xf numFmtId="0" fontId="17" fillId="0" borderId="0" xfId="0" applyFont="1"/>
    <xf numFmtId="0" fontId="18" fillId="0" borderId="0" xfId="0" applyFont="1" applyAlignment="1">
      <alignment horizontal="center" wrapText="1"/>
    </xf>
    <xf numFmtId="0" fontId="2" fillId="0" borderId="0" xfId="0" applyFont="1"/>
    <xf numFmtId="0" fontId="2" fillId="0" borderId="23" xfId="0" applyFont="1" applyBorder="1"/>
    <xf numFmtId="0" fontId="16" fillId="8" borderId="3" xfId="0" applyFont="1" applyFill="1" applyBorder="1"/>
    <xf numFmtId="0" fontId="0" fillId="8" borderId="4" xfId="0" applyFill="1" applyBorder="1"/>
    <xf numFmtId="0" fontId="0" fillId="8" borderId="5" xfId="0" applyFill="1" applyBorder="1"/>
    <xf numFmtId="0" fontId="0" fillId="8" borderId="6" xfId="0" applyFill="1" applyBorder="1"/>
    <xf numFmtId="0" fontId="16" fillId="8" borderId="11" xfId="0" applyFont="1" applyFill="1" applyBorder="1" applyAlignment="1">
      <alignment horizontal="center"/>
    </xf>
    <xf numFmtId="0" fontId="16" fillId="8" borderId="12" xfId="0" applyFont="1" applyFill="1" applyBorder="1" applyAlignment="1">
      <alignment horizontal="center"/>
    </xf>
    <xf numFmtId="0" fontId="16" fillId="8" borderId="13" xfId="0" applyFont="1" applyFill="1" applyBorder="1" applyAlignment="1">
      <alignment horizontal="center"/>
    </xf>
    <xf numFmtId="0" fontId="0" fillId="8" borderId="0" xfId="0" applyFill="1" applyAlignment="1">
      <alignment horizontal="center"/>
    </xf>
    <xf numFmtId="0" fontId="0" fillId="8" borderId="7" xfId="0" applyFill="1" applyBorder="1" applyAlignment="1">
      <alignment horizontal="center"/>
    </xf>
    <xf numFmtId="0" fontId="16" fillId="0" borderId="0" xfId="0" applyFont="1"/>
    <xf numFmtId="0" fontId="0" fillId="8" borderId="24" xfId="0" applyFill="1" applyBorder="1" applyAlignment="1">
      <alignment horizontal="center"/>
    </xf>
    <xf numFmtId="0" fontId="0" fillId="8" borderId="25" xfId="0" applyFill="1" applyBorder="1" applyAlignment="1">
      <alignment horizontal="center"/>
    </xf>
    <xf numFmtId="2" fontId="0" fillId="8" borderId="25" xfId="0" applyNumberFormat="1" applyFill="1" applyBorder="1" applyAlignment="1">
      <alignment horizontal="center"/>
    </xf>
    <xf numFmtId="0" fontId="19" fillId="8" borderId="25" xfId="0" applyFont="1" applyFill="1" applyBorder="1" applyAlignment="1">
      <alignment horizontal="center"/>
    </xf>
    <xf numFmtId="0" fontId="0" fillId="8" borderId="26" xfId="0" applyFill="1" applyBorder="1" applyAlignment="1">
      <alignment horizontal="center"/>
    </xf>
    <xf numFmtId="0" fontId="16" fillId="9" borderId="11" xfId="0" applyFont="1" applyFill="1" applyBorder="1" applyAlignment="1">
      <alignment horizontal="center"/>
    </xf>
    <xf numFmtId="0" fontId="16" fillId="9" borderId="12" xfId="0" applyFont="1" applyFill="1" applyBorder="1" applyAlignment="1">
      <alignment horizontal="center"/>
    </xf>
    <xf numFmtId="0" fontId="16" fillId="9" borderId="13" xfId="0" applyFont="1" applyFill="1" applyBorder="1" applyAlignment="1">
      <alignment horizontal="center"/>
    </xf>
    <xf numFmtId="0" fontId="16" fillId="9" borderId="27" xfId="0" applyFont="1" applyFill="1" applyBorder="1" applyAlignment="1">
      <alignment horizontal="center"/>
    </xf>
    <xf numFmtId="0" fontId="16" fillId="9" borderId="28" xfId="0" applyFont="1" applyFill="1" applyBorder="1" applyAlignment="1">
      <alignment horizontal="center"/>
    </xf>
    <xf numFmtId="0" fontId="16" fillId="9" borderId="29" xfId="0" applyFont="1" applyFill="1" applyBorder="1" applyAlignment="1">
      <alignment horizontal="center"/>
    </xf>
    <xf numFmtId="0" fontId="20" fillId="8" borderId="6" xfId="3" applyFont="1" applyFill="1" applyBorder="1" applyAlignment="1">
      <alignment horizontal="center"/>
    </xf>
    <xf numFmtId="0" fontId="2" fillId="8" borderId="0" xfId="4" applyFill="1" applyAlignment="1">
      <alignment horizontal="center"/>
    </xf>
    <xf numFmtId="2" fontId="0" fillId="8" borderId="1" xfId="0" applyNumberFormat="1" applyFill="1" applyBorder="1" applyAlignment="1">
      <alignment horizontal="center"/>
    </xf>
    <xf numFmtId="0" fontId="19" fillId="8" borderId="1" xfId="0" applyFont="1" applyFill="1" applyBorder="1" applyAlignment="1">
      <alignment horizontal="center"/>
    </xf>
    <xf numFmtId="2" fontId="2" fillId="8" borderId="1" xfId="4" applyNumberFormat="1" applyFill="1" applyBorder="1" applyAlignment="1">
      <alignment horizontal="center"/>
    </xf>
    <xf numFmtId="2" fontId="2" fillId="8" borderId="20" xfId="4" applyNumberFormat="1" applyFill="1" applyBorder="1" applyAlignment="1">
      <alignment horizontal="center"/>
    </xf>
    <xf numFmtId="166" fontId="2" fillId="8" borderId="1" xfId="4" applyNumberFormat="1" applyFill="1" applyBorder="1" applyAlignment="1">
      <alignment horizontal="center"/>
    </xf>
    <xf numFmtId="2" fontId="2" fillId="8" borderId="16" xfId="4" applyNumberFormat="1" applyFill="1" applyBorder="1" applyAlignment="1">
      <alignment horizontal="center"/>
    </xf>
    <xf numFmtId="0" fontId="0" fillId="9" borderId="6" xfId="0" applyFill="1" applyBorder="1" applyAlignment="1">
      <alignment horizontal="center"/>
    </xf>
    <xf numFmtId="0" fontId="0" fillId="9" borderId="0" xfId="0" applyFill="1" applyAlignment="1">
      <alignment horizontal="center"/>
    </xf>
    <xf numFmtId="0" fontId="0" fillId="9" borderId="7" xfId="0" applyFill="1" applyBorder="1" applyAlignment="1">
      <alignment horizontal="center"/>
    </xf>
    <xf numFmtId="0" fontId="0" fillId="9" borderId="3" xfId="0" applyFill="1" applyBorder="1" applyAlignment="1">
      <alignment horizontal="center"/>
    </xf>
    <xf numFmtId="2" fontId="2" fillId="9" borderId="4" xfId="0" applyNumberFormat="1" applyFont="1" applyFill="1" applyBorder="1" applyAlignment="1">
      <alignment horizontal="center"/>
    </xf>
    <xf numFmtId="0" fontId="2" fillId="9" borderId="5" xfId="0" applyFont="1" applyFill="1" applyBorder="1" applyAlignment="1">
      <alignment horizontal="center"/>
    </xf>
    <xf numFmtId="0" fontId="19" fillId="0" borderId="0" xfId="0" applyFont="1"/>
    <xf numFmtId="0" fontId="6" fillId="0" borderId="0" xfId="2"/>
    <xf numFmtId="167" fontId="0" fillId="8" borderId="1" xfId="0" applyNumberFormat="1" applyFill="1" applyBorder="1" applyAlignment="1">
      <alignment horizontal="center"/>
    </xf>
    <xf numFmtId="0" fontId="2" fillId="9" borderId="6" xfId="0" applyFont="1" applyFill="1" applyBorder="1" applyAlignment="1">
      <alignment horizontal="center"/>
    </xf>
    <xf numFmtId="2" fontId="0" fillId="9" borderId="0" xfId="0" applyNumberFormat="1" applyFill="1" applyAlignment="1">
      <alignment horizontal="center"/>
    </xf>
    <xf numFmtId="0" fontId="2" fillId="9" borderId="7" xfId="0" applyFont="1" applyFill="1" applyBorder="1" applyAlignment="1">
      <alignment horizontal="center"/>
    </xf>
    <xf numFmtId="0" fontId="16" fillId="8" borderId="0" xfId="0" applyFont="1" applyFill="1" applyAlignment="1">
      <alignment horizontal="center"/>
    </xf>
    <xf numFmtId="2" fontId="2" fillId="9" borderId="0" xfId="0" applyNumberFormat="1" applyFont="1" applyFill="1" applyAlignment="1">
      <alignment horizontal="center"/>
    </xf>
    <xf numFmtId="0" fontId="0" fillId="8" borderId="0" xfId="0" applyFill="1"/>
    <xf numFmtId="0" fontId="0" fillId="8" borderId="7" xfId="0" applyFill="1" applyBorder="1"/>
    <xf numFmtId="0" fontId="2" fillId="8" borderId="0" xfId="0" applyFont="1" applyFill="1" applyAlignment="1">
      <alignment horizontal="center"/>
    </xf>
    <xf numFmtId="0" fontId="2" fillId="8" borderId="7" xfId="0" applyFont="1" applyFill="1" applyBorder="1" applyAlignment="1">
      <alignment horizontal="center"/>
    </xf>
    <xf numFmtId="0" fontId="20" fillId="8" borderId="8" xfId="3" applyFont="1" applyFill="1" applyBorder="1" applyAlignment="1">
      <alignment horizontal="center"/>
    </xf>
    <xf numFmtId="0" fontId="2" fillId="8" borderId="9" xfId="4" applyFill="1" applyBorder="1" applyAlignment="1">
      <alignment horizontal="center"/>
    </xf>
    <xf numFmtId="2" fontId="0" fillId="8" borderId="20" xfId="0" applyNumberFormat="1" applyFill="1" applyBorder="1" applyAlignment="1">
      <alignment horizontal="center"/>
    </xf>
    <xf numFmtId="0" fontId="19" fillId="8" borderId="20" xfId="0" applyFont="1" applyFill="1" applyBorder="1" applyAlignment="1">
      <alignment horizontal="center"/>
    </xf>
    <xf numFmtId="166" fontId="2" fillId="8" borderId="20" xfId="4" applyNumberFormat="1" applyFill="1" applyBorder="1" applyAlignment="1">
      <alignment horizontal="center"/>
    </xf>
    <xf numFmtId="2" fontId="2" fillId="8" borderId="21" xfId="4" applyNumberFormat="1" applyFill="1" applyBorder="1" applyAlignment="1">
      <alignment horizontal="center"/>
    </xf>
    <xf numFmtId="0" fontId="0" fillId="9" borderId="8" xfId="0" applyFill="1" applyBorder="1" applyAlignment="1">
      <alignment horizontal="center"/>
    </xf>
    <xf numFmtId="0" fontId="0" fillId="9" borderId="9" xfId="0" applyFill="1" applyBorder="1" applyAlignment="1">
      <alignment horizontal="center"/>
    </xf>
    <xf numFmtId="0" fontId="2" fillId="9" borderId="10" xfId="0" applyFont="1" applyFill="1" applyBorder="1" applyAlignment="1">
      <alignment horizontal="center"/>
    </xf>
    <xf numFmtId="2" fontId="0" fillId="8" borderId="0" xfId="0" applyNumberFormat="1" applyFill="1" applyAlignment="1">
      <alignment horizontal="center"/>
    </xf>
    <xf numFmtId="0" fontId="19" fillId="8" borderId="0" xfId="0" applyFont="1" applyFill="1" applyAlignment="1">
      <alignment horizontal="center"/>
    </xf>
    <xf numFmtId="166" fontId="19" fillId="8" borderId="0" xfId="0" applyNumberFormat="1" applyFont="1" applyFill="1" applyAlignment="1">
      <alignment horizontal="center"/>
    </xf>
    <xf numFmtId="2" fontId="0" fillId="9" borderId="9" xfId="0" applyNumberFormat="1" applyFill="1" applyBorder="1" applyAlignment="1">
      <alignment horizontal="center"/>
    </xf>
    <xf numFmtId="2" fontId="16" fillId="8" borderId="12" xfId="0" applyNumberFormat="1" applyFont="1" applyFill="1" applyBorder="1" applyAlignment="1">
      <alignment horizontal="center"/>
    </xf>
    <xf numFmtId="0" fontId="16" fillId="8" borderId="24" xfId="0" applyFont="1" applyFill="1" applyBorder="1" applyAlignment="1">
      <alignment horizontal="center"/>
    </xf>
    <xf numFmtId="0" fontId="2" fillId="8" borderId="26" xfId="0" applyFont="1" applyFill="1" applyBorder="1" applyAlignment="1">
      <alignment horizontal="center"/>
    </xf>
    <xf numFmtId="0" fontId="0" fillId="10" borderId="3" xfId="0" applyFill="1" applyBorder="1" applyAlignment="1">
      <alignment horizontal="center"/>
    </xf>
    <xf numFmtId="2" fontId="16" fillId="10" borderId="4" xfId="0" applyNumberFormat="1" applyFont="1" applyFill="1" applyBorder="1" applyAlignment="1">
      <alignment horizontal="center"/>
    </xf>
    <xf numFmtId="2" fontId="0" fillId="10" borderId="5" xfId="0" applyNumberFormat="1" applyFill="1" applyBorder="1" applyAlignment="1">
      <alignment horizontal="center"/>
    </xf>
    <xf numFmtId="0" fontId="0" fillId="8" borderId="30" xfId="0" applyFill="1" applyBorder="1" applyAlignment="1">
      <alignment horizontal="center"/>
    </xf>
    <xf numFmtId="0" fontId="0" fillId="8" borderId="14" xfId="0" applyFill="1" applyBorder="1" applyAlignment="1">
      <alignment horizontal="center"/>
    </xf>
    <xf numFmtId="2" fontId="0" fillId="8" borderId="14" xfId="0" applyNumberFormat="1" applyFill="1" applyBorder="1" applyAlignment="1">
      <alignment horizontal="center"/>
    </xf>
    <xf numFmtId="0" fontId="2" fillId="8" borderId="14" xfId="0" applyFont="1" applyFill="1" applyBorder="1" applyAlignment="1">
      <alignment horizontal="center"/>
    </xf>
    <xf numFmtId="0" fontId="2" fillId="8" borderId="31" xfId="0" applyFont="1" applyFill="1" applyBorder="1" applyAlignment="1">
      <alignment horizontal="center"/>
    </xf>
    <xf numFmtId="0" fontId="16" fillId="8" borderId="19" xfId="0" applyFont="1" applyFill="1" applyBorder="1" applyAlignment="1">
      <alignment horizontal="center"/>
    </xf>
    <xf numFmtId="0" fontId="2" fillId="8" borderId="21" xfId="0" applyFont="1" applyFill="1" applyBorder="1" applyAlignment="1">
      <alignment horizontal="center"/>
    </xf>
    <xf numFmtId="2" fontId="0" fillId="10" borderId="6" xfId="0" applyNumberFormat="1" applyFill="1" applyBorder="1" applyAlignment="1">
      <alignment horizontal="center"/>
    </xf>
    <xf numFmtId="2" fontId="0" fillId="10" borderId="0" xfId="0" applyNumberFormat="1" applyFill="1" applyAlignment="1">
      <alignment horizontal="center"/>
    </xf>
    <xf numFmtId="2" fontId="0" fillId="10" borderId="7" xfId="0" applyNumberFormat="1" applyFill="1" applyBorder="1" applyAlignment="1">
      <alignment horizontal="center"/>
    </xf>
    <xf numFmtId="0" fontId="0" fillId="8" borderId="15" xfId="0" applyFill="1" applyBorder="1" applyAlignment="1">
      <alignment horizontal="center"/>
    </xf>
    <xf numFmtId="0" fontId="0" fillId="8" borderId="1" xfId="0" applyFill="1" applyBorder="1" applyAlignment="1">
      <alignment horizontal="center"/>
    </xf>
    <xf numFmtId="0" fontId="2" fillId="8" borderId="1" xfId="0" applyFont="1" applyFill="1" applyBorder="1" applyAlignment="1">
      <alignment horizontal="center"/>
    </xf>
    <xf numFmtId="0" fontId="2" fillId="8" borderId="16" xfId="0" applyFont="1" applyFill="1" applyBorder="1" applyAlignment="1">
      <alignment horizontal="center"/>
    </xf>
    <xf numFmtId="2" fontId="2" fillId="10" borderId="6" xfId="0" applyNumberFormat="1" applyFont="1" applyFill="1" applyBorder="1" applyAlignment="1">
      <alignment horizontal="center" wrapText="1"/>
    </xf>
    <xf numFmtId="0" fontId="0" fillId="8" borderId="19" xfId="0" applyFill="1" applyBorder="1" applyAlignment="1">
      <alignment horizontal="center"/>
    </xf>
    <xf numFmtId="0" fontId="0" fillId="8" borderId="20" xfId="0" applyFill="1" applyBorder="1" applyAlignment="1">
      <alignment horizontal="center"/>
    </xf>
    <xf numFmtId="0" fontId="2" fillId="8" borderId="20" xfId="0" applyFont="1" applyFill="1" applyBorder="1" applyAlignment="1">
      <alignment horizontal="center"/>
    </xf>
    <xf numFmtId="0" fontId="0" fillId="10" borderId="6" xfId="0" applyFill="1" applyBorder="1" applyAlignment="1">
      <alignment horizontal="center"/>
    </xf>
    <xf numFmtId="0" fontId="0" fillId="10" borderId="0" xfId="0" applyFill="1" applyAlignment="1">
      <alignment horizontal="center"/>
    </xf>
    <xf numFmtId="0" fontId="0" fillId="10" borderId="7" xfId="0" applyFill="1" applyBorder="1" applyAlignment="1">
      <alignment horizontal="center"/>
    </xf>
    <xf numFmtId="0" fontId="0" fillId="10" borderId="8" xfId="0" applyFill="1" applyBorder="1" applyAlignment="1">
      <alignment horizontal="center"/>
    </xf>
    <xf numFmtId="0" fontId="0" fillId="10" borderId="9" xfId="0" applyFill="1" applyBorder="1" applyAlignment="1">
      <alignment horizontal="center"/>
    </xf>
    <xf numFmtId="2" fontId="0" fillId="10" borderId="10" xfId="0" applyNumberFormat="1" applyFill="1" applyBorder="1" applyAlignment="1">
      <alignment horizontal="center"/>
    </xf>
    <xf numFmtId="0" fontId="0" fillId="8" borderId="8" xfId="0" applyFill="1" applyBorder="1"/>
    <xf numFmtId="0" fontId="0" fillId="8" borderId="9" xfId="0" applyFill="1" applyBorder="1"/>
    <xf numFmtId="0" fontId="0" fillId="8" borderId="10" xfId="0" applyFill="1" applyBorder="1"/>
    <xf numFmtId="0" fontId="16" fillId="7" borderId="3" xfId="0" applyFont="1" applyFill="1" applyBorder="1"/>
    <xf numFmtId="0" fontId="0" fillId="7" borderId="4" xfId="0" applyFill="1" applyBorder="1"/>
    <xf numFmtId="0" fontId="0" fillId="7" borderId="5" xfId="0" applyFill="1" applyBorder="1"/>
    <xf numFmtId="0" fontId="16" fillId="7" borderId="15" xfId="0" applyFont="1" applyFill="1" applyBorder="1"/>
    <xf numFmtId="164" fontId="16" fillId="7" borderId="1" xfId="0" applyNumberFormat="1" applyFont="1" applyFill="1" applyBorder="1" applyAlignment="1">
      <alignment horizontal="center"/>
    </xf>
    <xf numFmtId="0" fontId="16" fillId="7" borderId="1" xfId="0" applyFont="1" applyFill="1" applyBorder="1" applyAlignment="1">
      <alignment horizontal="center"/>
    </xf>
    <xf numFmtId="0" fontId="16" fillId="7" borderId="1" xfId="0" applyFont="1" applyFill="1" applyBorder="1"/>
    <xf numFmtId="0" fontId="16" fillId="7" borderId="16" xfId="0" applyFont="1" applyFill="1" applyBorder="1"/>
    <xf numFmtId="2" fontId="0" fillId="7" borderId="15" xfId="0" applyNumberFormat="1" applyFill="1" applyBorder="1"/>
    <xf numFmtId="2" fontId="0" fillId="7" borderId="1" xfId="0" applyNumberFormat="1" applyFill="1" applyBorder="1" applyAlignment="1">
      <alignment horizontal="center"/>
    </xf>
    <xf numFmtId="0" fontId="0" fillId="7" borderId="1" xfId="0" applyFill="1" applyBorder="1" applyAlignment="1">
      <alignment horizontal="center"/>
    </xf>
    <xf numFmtId="0" fontId="0" fillId="7" borderId="16" xfId="0" applyFill="1" applyBorder="1"/>
    <xf numFmtId="0" fontId="2" fillId="9" borderId="8" xfId="0" applyFont="1" applyFill="1" applyBorder="1" applyAlignment="1">
      <alignment horizontal="center"/>
    </xf>
    <xf numFmtId="0" fontId="0" fillId="7" borderId="6" xfId="0" applyFill="1" applyBorder="1"/>
    <xf numFmtId="0" fontId="0" fillId="7" borderId="0" xfId="0" applyFill="1"/>
    <xf numFmtId="0" fontId="0" fillId="7" borderId="7" xfId="0" applyFill="1" applyBorder="1"/>
    <xf numFmtId="0" fontId="16" fillId="7" borderId="6" xfId="0" applyFont="1" applyFill="1" applyBorder="1"/>
    <xf numFmtId="0" fontId="0" fillId="7" borderId="15" xfId="0" applyFill="1" applyBorder="1"/>
    <xf numFmtId="0" fontId="0" fillId="7" borderId="1" xfId="0" applyFill="1" applyBorder="1"/>
    <xf numFmtId="0" fontId="16" fillId="8" borderId="25" xfId="0" applyFont="1" applyFill="1" applyBorder="1" applyAlignment="1">
      <alignment horizontal="center"/>
    </xf>
    <xf numFmtId="0" fontId="16" fillId="8" borderId="26" xfId="0" applyFont="1" applyFill="1" applyBorder="1" applyAlignment="1">
      <alignment horizontal="center"/>
    </xf>
    <xf numFmtId="0" fontId="2" fillId="8" borderId="6" xfId="0" applyFont="1" applyFill="1" applyBorder="1" applyAlignment="1">
      <alignment horizontal="center"/>
    </xf>
    <xf numFmtId="0" fontId="0" fillId="8" borderId="6" xfId="0" applyFill="1" applyBorder="1" applyAlignment="1">
      <alignment horizontal="center"/>
    </xf>
    <xf numFmtId="0" fontId="0" fillId="7" borderId="8" xfId="0" applyFill="1" applyBorder="1"/>
    <xf numFmtId="0" fontId="0" fillId="7" borderId="9" xfId="0" applyFill="1" applyBorder="1"/>
    <xf numFmtId="0" fontId="0" fillId="7" borderId="10" xfId="0" applyFill="1" applyBorder="1"/>
    <xf numFmtId="0" fontId="2" fillId="8" borderId="8" xfId="0" applyFont="1" applyFill="1" applyBorder="1" applyAlignment="1">
      <alignment horizontal="center"/>
    </xf>
    <xf numFmtId="0" fontId="2" fillId="8" borderId="9" xfId="0" applyFont="1" applyFill="1" applyBorder="1" applyAlignment="1">
      <alignment horizontal="center"/>
    </xf>
    <xf numFmtId="0" fontId="2" fillId="8" borderId="10" xfId="0" applyFont="1" applyFill="1" applyBorder="1" applyAlignment="1">
      <alignment horizontal="center"/>
    </xf>
    <xf numFmtId="0" fontId="16" fillId="11" borderId="11" xfId="0" applyFont="1" applyFill="1" applyBorder="1" applyAlignment="1">
      <alignment horizontal="center"/>
    </xf>
    <xf numFmtId="0" fontId="16" fillId="11" borderId="12" xfId="0" applyFont="1" applyFill="1" applyBorder="1" applyAlignment="1">
      <alignment horizontal="center"/>
    </xf>
    <xf numFmtId="0" fontId="16" fillId="11" borderId="13" xfId="0" applyFont="1" applyFill="1" applyBorder="1" applyAlignment="1">
      <alignment horizontal="center"/>
    </xf>
    <xf numFmtId="0" fontId="0" fillId="11" borderId="6" xfId="0" applyFill="1" applyBorder="1" applyAlignment="1">
      <alignment horizontal="center"/>
    </xf>
    <xf numFmtId="0" fontId="6" fillId="11" borderId="0" xfId="2" applyFill="1" applyBorder="1" applyAlignment="1">
      <alignment horizontal="center"/>
    </xf>
    <xf numFmtId="0" fontId="0" fillId="11" borderId="0" xfId="0" applyFill="1" applyAlignment="1">
      <alignment horizontal="center"/>
    </xf>
    <xf numFmtId="0" fontId="2" fillId="11" borderId="0" xfId="0" applyFont="1" applyFill="1" applyAlignment="1">
      <alignment horizontal="center"/>
    </xf>
    <xf numFmtId="0" fontId="0" fillId="11" borderId="7" xfId="0" applyFill="1" applyBorder="1" applyAlignment="1">
      <alignment horizontal="center"/>
    </xf>
    <xf numFmtId="0" fontId="2" fillId="11" borderId="7" xfId="0" applyFont="1" applyFill="1" applyBorder="1" applyAlignment="1">
      <alignment horizontal="center"/>
    </xf>
    <xf numFmtId="0" fontId="2" fillId="11" borderId="6" xfId="0" applyFont="1" applyFill="1" applyBorder="1" applyAlignment="1">
      <alignment horizontal="center"/>
    </xf>
    <xf numFmtId="2" fontId="0" fillId="11" borderId="0" xfId="0" applyNumberFormat="1" applyFill="1" applyAlignment="1">
      <alignment horizontal="center"/>
    </xf>
    <xf numFmtId="0" fontId="0" fillId="11" borderId="8" xfId="0" applyFill="1" applyBorder="1" applyAlignment="1">
      <alignment horizontal="center"/>
    </xf>
    <xf numFmtId="0" fontId="0" fillId="11" borderId="9" xfId="0" applyFill="1" applyBorder="1" applyAlignment="1">
      <alignment horizontal="center"/>
    </xf>
    <xf numFmtId="0" fontId="2" fillId="11" borderId="9" xfId="0" applyFont="1" applyFill="1" applyBorder="1" applyAlignment="1">
      <alignment horizontal="center"/>
    </xf>
    <xf numFmtId="2" fontId="0" fillId="11" borderId="9" xfId="0" applyNumberFormat="1" applyFill="1" applyBorder="1" applyAlignment="1">
      <alignment horizontal="center"/>
    </xf>
    <xf numFmtId="0" fontId="2" fillId="11" borderId="10" xfId="0" applyFont="1" applyFill="1" applyBorder="1" applyAlignment="1">
      <alignment horizontal="center"/>
    </xf>
    <xf numFmtId="0" fontId="16" fillId="12" borderId="3" xfId="0" applyFont="1" applyFill="1" applyBorder="1" applyAlignment="1">
      <alignment horizontal="center"/>
    </xf>
    <xf numFmtId="0" fontId="16" fillId="12" borderId="4" xfId="0" applyFont="1" applyFill="1" applyBorder="1" applyAlignment="1">
      <alignment horizontal="center"/>
    </xf>
    <xf numFmtId="0" fontId="16" fillId="12" borderId="5" xfId="0" applyFont="1" applyFill="1" applyBorder="1" applyAlignment="1">
      <alignment horizontal="center"/>
    </xf>
    <xf numFmtId="0" fontId="2" fillId="12" borderId="6" xfId="0" applyFont="1" applyFill="1" applyBorder="1" applyAlignment="1">
      <alignment horizontal="center"/>
    </xf>
    <xf numFmtId="2" fontId="0" fillId="12" borderId="0" xfId="0" applyNumberFormat="1" applyFill="1" applyAlignment="1">
      <alignment horizontal="center"/>
    </xf>
    <xf numFmtId="0" fontId="2" fillId="12" borderId="7" xfId="0" applyFont="1" applyFill="1" applyBorder="1" applyAlignment="1">
      <alignment horizontal="center"/>
    </xf>
    <xf numFmtId="0" fontId="2" fillId="12" borderId="8" xfId="0" applyFont="1" applyFill="1" applyBorder="1" applyAlignment="1">
      <alignment horizontal="center"/>
    </xf>
    <xf numFmtId="2" fontId="0" fillId="12" borderId="9" xfId="0" applyNumberFormat="1" applyFill="1" applyBorder="1" applyAlignment="1">
      <alignment horizontal="center"/>
    </xf>
    <xf numFmtId="0" fontId="2" fillId="12" borderId="10" xfId="0" applyFont="1" applyFill="1" applyBorder="1" applyAlignment="1">
      <alignment horizontal="center"/>
    </xf>
    <xf numFmtId="0" fontId="5" fillId="0" borderId="1" xfId="0" applyFont="1" applyBorder="1"/>
    <xf numFmtId="0" fontId="3" fillId="4" borderId="14" xfId="0" applyFont="1" applyFill="1" applyBorder="1"/>
    <xf numFmtId="0" fontId="3" fillId="4" borderId="14" xfId="0" applyFont="1" applyFill="1" applyBorder="1" applyAlignment="1">
      <alignment horizontal="center"/>
    </xf>
    <xf numFmtId="2" fontId="3" fillId="4" borderId="14" xfId="0" applyNumberFormat="1" applyFont="1" applyFill="1" applyBorder="1"/>
    <xf numFmtId="0" fontId="5" fillId="0" borderId="1" xfId="0" applyFont="1" applyBorder="1" applyAlignment="1">
      <alignment horizontal="center"/>
    </xf>
    <xf numFmtId="1" fontId="3" fillId="0" borderId="1" xfId="0" applyNumberFormat="1" applyFont="1" applyBorder="1" applyAlignment="1">
      <alignment horizontal="center" wrapText="1"/>
    </xf>
    <xf numFmtId="0" fontId="6" fillId="0" borderId="1" xfId="2" applyBorder="1" applyAlignment="1">
      <alignment horizontal="center" wrapText="1"/>
    </xf>
    <xf numFmtId="0" fontId="17" fillId="0" borderId="1" xfId="0" applyFont="1" applyBorder="1" applyAlignment="1">
      <alignment horizontal="center" wrapText="1"/>
    </xf>
    <xf numFmtId="0" fontId="21" fillId="14" borderId="1" xfId="0" applyFont="1" applyFill="1" applyBorder="1"/>
    <xf numFmtId="11" fontId="3" fillId="0" borderId="1" xfId="0" applyNumberFormat="1" applyFont="1" applyBorder="1" applyAlignment="1">
      <alignment horizontal="center" vertical="center" wrapText="1"/>
    </xf>
    <xf numFmtId="11" fontId="3" fillId="0" borderId="1" xfId="0" applyNumberFormat="1" applyFont="1" applyBorder="1" applyAlignment="1">
      <alignment horizontal="center" wrapText="1"/>
    </xf>
    <xf numFmtId="11" fontId="3" fillId="2" borderId="1" xfId="0" applyNumberFormat="1" applyFont="1" applyFill="1" applyBorder="1" applyAlignment="1">
      <alignment horizontal="center" wrapText="1"/>
    </xf>
    <xf numFmtId="11" fontId="5" fillId="0" borderId="1" xfId="0" applyNumberFormat="1" applyFont="1" applyBorder="1" applyAlignment="1">
      <alignment horizontal="center" wrapText="1"/>
    </xf>
    <xf numFmtId="11" fontId="3" fillId="0" borderId="0" xfId="0" applyNumberFormat="1" applyFont="1" applyAlignment="1">
      <alignment horizontal="center" wrapText="1"/>
    </xf>
    <xf numFmtId="0" fontId="3" fillId="13" borderId="1" xfId="0" applyFont="1" applyFill="1" applyBorder="1" applyAlignment="1">
      <alignment horizontal="center" wrapText="1"/>
    </xf>
    <xf numFmtId="0" fontId="0" fillId="0" borderId="0" xfId="0" applyAlignment="1">
      <alignment wrapText="1"/>
    </xf>
    <xf numFmtId="0" fontId="23" fillId="0" borderId="0" xfId="5"/>
    <xf numFmtId="2" fontId="3" fillId="0" borderId="1" xfId="1" applyNumberFormat="1" applyFont="1" applyBorder="1" applyAlignment="1">
      <alignment horizontal="center" wrapText="1"/>
    </xf>
    <xf numFmtId="2" fontId="3" fillId="0" borderId="1" xfId="5" applyNumberFormat="1" applyFont="1" applyBorder="1" applyAlignment="1">
      <alignment horizontal="center"/>
    </xf>
    <xf numFmtId="0" fontId="3" fillId="0" borderId="1" xfId="5" applyFont="1" applyBorder="1" applyAlignment="1">
      <alignment horizontal="center" wrapText="1"/>
    </xf>
    <xf numFmtId="2" fontId="3" fillId="0" borderId="1" xfId="5" applyNumberFormat="1" applyFont="1" applyBorder="1" applyAlignment="1">
      <alignment horizontal="center" wrapText="1"/>
    </xf>
    <xf numFmtId="0" fontId="5" fillId="0" borderId="1" xfId="5" applyFont="1" applyBorder="1" applyAlignment="1">
      <alignment horizontal="center" wrapText="1"/>
    </xf>
    <xf numFmtId="2" fontId="5" fillId="0" borderId="1" xfId="0" applyNumberFormat="1" applyFont="1" applyBorder="1" applyAlignment="1">
      <alignment horizontal="center"/>
    </xf>
    <xf numFmtId="11" fontId="5" fillId="0" borderId="1" xfId="5" applyNumberFormat="1" applyFont="1" applyBorder="1" applyAlignment="1">
      <alignment horizontal="center" vertical="center"/>
    </xf>
    <xf numFmtId="11" fontId="5" fillId="0" borderId="1" xfId="5" applyNumberFormat="1" applyFont="1" applyBorder="1" applyAlignment="1">
      <alignment horizontal="center" vertical="center" wrapText="1"/>
    </xf>
    <xf numFmtId="11" fontId="3" fillId="0" borderId="0" xfId="0" applyNumberFormat="1" applyFont="1"/>
    <xf numFmtId="11" fontId="5" fillId="0" borderId="1" xfId="0" applyNumberFormat="1" applyFont="1" applyBorder="1" applyAlignment="1">
      <alignment horizontal="center"/>
    </xf>
    <xf numFmtId="11" fontId="3" fillId="0" borderId="1" xfId="5" applyNumberFormat="1" applyFont="1" applyBorder="1"/>
    <xf numFmtId="11" fontId="3" fillId="0" borderId="0" xfId="0" applyNumberFormat="1" applyFont="1" applyAlignment="1">
      <alignment horizontal="center" vertical="center"/>
    </xf>
    <xf numFmtId="11" fontId="3" fillId="0" borderId="14" xfId="0" applyNumberFormat="1" applyFont="1" applyBorder="1"/>
    <xf numFmtId="11" fontId="3" fillId="0" borderId="1" xfId="0" applyNumberFormat="1" applyFont="1" applyBorder="1"/>
    <xf numFmtId="11" fontId="3" fillId="0" borderId="0" xfId="5" applyNumberFormat="1" applyFont="1"/>
    <xf numFmtId="11" fontId="5" fillId="0" borderId="0" xfId="0" applyNumberFormat="1" applyFont="1"/>
    <xf numFmtId="11" fontId="3" fillId="0" borderId="14" xfId="0" applyNumberFormat="1" applyFont="1" applyBorder="1" applyAlignment="1">
      <alignment wrapText="1"/>
    </xf>
    <xf numFmtId="167" fontId="3" fillId="0" borderId="0" xfId="0" applyNumberFormat="1" applyFont="1"/>
    <xf numFmtId="9" fontId="3" fillId="0" borderId="0" xfId="1" applyFont="1"/>
    <xf numFmtId="2" fontId="24" fillId="0" borderId="1" xfId="0" applyNumberFormat="1" applyFont="1" applyBorder="1" applyAlignment="1">
      <alignment horizontal="center"/>
    </xf>
    <xf numFmtId="2" fontId="25" fillId="0" borderId="14" xfId="0" applyNumberFormat="1" applyFont="1" applyBorder="1"/>
    <xf numFmtId="2" fontId="25" fillId="0" borderId="14" xfId="0" applyNumberFormat="1" applyFont="1" applyBorder="1" applyAlignment="1">
      <alignment wrapText="1"/>
    </xf>
    <xf numFmtId="2" fontId="25" fillId="0" borderId="1" xfId="0" applyNumberFormat="1" applyFont="1" applyBorder="1"/>
    <xf numFmtId="2" fontId="26" fillId="0" borderId="0" xfId="0" applyNumberFormat="1" applyFont="1"/>
    <xf numFmtId="0" fontId="21" fillId="14" borderId="4" xfId="0" applyFont="1" applyFill="1" applyBorder="1"/>
    <xf numFmtId="0" fontId="21" fillId="14" borderId="5" xfId="0" applyFont="1" applyFill="1" applyBorder="1"/>
    <xf numFmtId="0" fontId="21" fillId="14" borderId="7" xfId="0" applyFont="1" applyFill="1" applyBorder="1"/>
    <xf numFmtId="0" fontId="21" fillId="14" borderId="9" xfId="0" applyFont="1" applyFill="1" applyBorder="1"/>
    <xf numFmtId="0" fontId="21" fillId="14" borderId="10" xfId="0" applyFont="1" applyFill="1" applyBorder="1"/>
    <xf numFmtId="0" fontId="28" fillId="14" borderId="0" xfId="0" applyFont="1" applyFill="1"/>
    <xf numFmtId="0" fontId="21" fillId="14" borderId="0" xfId="0" applyFont="1" applyFill="1"/>
    <xf numFmtId="0" fontId="22" fillId="0" borderId="0" xfId="0" applyFont="1" applyAlignment="1">
      <alignment horizontal="center" vertical="center"/>
    </xf>
    <xf numFmtId="11" fontId="21" fillId="0" borderId="0" xfId="0" applyNumberFormat="1" applyFont="1"/>
    <xf numFmtId="0" fontId="22" fillId="15" borderId="32" xfId="0" applyFont="1" applyFill="1" applyBorder="1" applyAlignment="1">
      <alignment horizontal="center"/>
    </xf>
    <xf numFmtId="0" fontId="21" fillId="14" borderId="3" xfId="0" applyFont="1" applyFill="1" applyBorder="1"/>
    <xf numFmtId="0" fontId="21" fillId="14" borderId="6" xfId="0" applyFont="1" applyFill="1" applyBorder="1"/>
    <xf numFmtId="0" fontId="21" fillId="14" borderId="8" xfId="0" applyFont="1" applyFill="1" applyBorder="1"/>
    <xf numFmtId="0" fontId="22" fillId="15" borderId="3" xfId="0" applyFont="1" applyFill="1" applyBorder="1" applyAlignment="1">
      <alignment horizontal="center"/>
    </xf>
    <xf numFmtId="0" fontId="22" fillId="15" borderId="4" xfId="0" applyFont="1" applyFill="1" applyBorder="1" applyAlignment="1">
      <alignment horizontal="center"/>
    </xf>
    <xf numFmtId="0" fontId="22" fillId="15" borderId="5" xfId="0" applyFont="1" applyFill="1" applyBorder="1" applyAlignment="1">
      <alignment horizontal="center"/>
    </xf>
    <xf numFmtId="0" fontId="22" fillId="15" borderId="33" xfId="0" applyFont="1" applyFill="1" applyBorder="1" applyAlignment="1">
      <alignment horizontal="center"/>
    </xf>
    <xf numFmtId="0" fontId="22" fillId="15" borderId="0" xfId="0" applyFont="1" applyFill="1" applyAlignment="1">
      <alignment horizontal="center"/>
    </xf>
    <xf numFmtId="0" fontId="22" fillId="15" borderId="1" xfId="0" applyFont="1" applyFill="1" applyBorder="1" applyAlignment="1">
      <alignment horizontal="center"/>
    </xf>
    <xf numFmtId="0" fontId="29" fillId="14" borderId="0" xfId="0" applyFont="1" applyFill="1"/>
    <xf numFmtId="9" fontId="3" fillId="0" borderId="1" xfId="1" applyFont="1" applyBorder="1"/>
    <xf numFmtId="11" fontId="3" fillId="0" borderId="1" xfId="0" applyNumberFormat="1" applyFont="1" applyBorder="1" applyAlignment="1">
      <alignment wrapText="1"/>
    </xf>
    <xf numFmtId="2" fontId="0" fillId="0" borderId="1" xfId="0" applyNumberFormat="1" applyBorder="1"/>
    <xf numFmtId="2" fontId="3" fillId="0" borderId="0" xfId="0" applyNumberFormat="1" applyFont="1" applyAlignment="1">
      <alignment horizontal="center" vertical="center"/>
    </xf>
    <xf numFmtId="2" fontId="3" fillId="0" borderId="1" xfId="0" applyNumberFormat="1" applyFont="1" applyBorder="1" applyAlignment="1">
      <alignment horizontal="center" vertical="center"/>
    </xf>
    <xf numFmtId="2" fontId="5" fillId="0" borderId="1" xfId="0" applyNumberFormat="1" applyFont="1" applyBorder="1"/>
    <xf numFmtId="2" fontId="9" fillId="0" borderId="1" xfId="0" applyNumberFormat="1" applyFont="1" applyBorder="1"/>
    <xf numFmtId="2" fontId="30" fillId="0" borderId="0" xfId="0" applyNumberFormat="1" applyFont="1"/>
    <xf numFmtId="2" fontId="9" fillId="0" borderId="0" xfId="0" applyNumberFormat="1" applyFont="1"/>
    <xf numFmtId="11" fontId="5" fillId="0" borderId="1" xfId="0" applyNumberFormat="1" applyFont="1" applyBorder="1" applyAlignment="1">
      <alignment vertical="center"/>
    </xf>
    <xf numFmtId="11" fontId="5" fillId="0" borderId="1" xfId="0" applyNumberFormat="1" applyFont="1" applyBorder="1" applyAlignment="1">
      <alignment horizontal="center" vertical="center" wrapText="1"/>
    </xf>
    <xf numFmtId="11" fontId="5" fillId="0" borderId="1" xfId="5" applyNumberFormat="1" applyFont="1" applyBorder="1" applyAlignment="1">
      <alignment vertical="center"/>
    </xf>
    <xf numFmtId="2" fontId="3" fillId="0" borderId="1" xfId="1" applyNumberFormat="1" applyFont="1" applyBorder="1"/>
    <xf numFmtId="2" fontId="3" fillId="0" borderId="0" xfId="1" applyNumberFormat="1" applyFont="1"/>
    <xf numFmtId="0" fontId="31" fillId="0" borderId="0" xfId="0" applyFont="1"/>
    <xf numFmtId="0" fontId="30" fillId="0" borderId="0" xfId="0" applyFont="1"/>
    <xf numFmtId="2" fontId="3" fillId="0" borderId="22" xfId="0" applyNumberFormat="1" applyFont="1" applyBorder="1"/>
    <xf numFmtId="0" fontId="9" fillId="16" borderId="1" xfId="0" applyFont="1" applyFill="1" applyBorder="1" applyAlignment="1">
      <alignment horizontal="right"/>
    </xf>
    <xf numFmtId="0" fontId="3" fillId="16" borderId="1" xfId="0" applyFont="1" applyFill="1" applyBorder="1"/>
    <xf numFmtId="0" fontId="3" fillId="16" borderId="1" xfId="0" applyFont="1" applyFill="1" applyBorder="1" applyAlignment="1">
      <alignment wrapText="1"/>
    </xf>
    <xf numFmtId="0" fontId="9" fillId="17" borderId="1" xfId="0" applyFont="1" applyFill="1" applyBorder="1" applyAlignment="1">
      <alignment horizontal="right"/>
    </xf>
    <xf numFmtId="0" fontId="3" fillId="17" borderId="1" xfId="0" applyFont="1" applyFill="1" applyBorder="1"/>
    <xf numFmtId="0" fontId="3" fillId="17" borderId="1" xfId="0" applyFont="1" applyFill="1" applyBorder="1" applyAlignment="1">
      <alignment wrapText="1"/>
    </xf>
    <xf numFmtId="0" fontId="9" fillId="10" borderId="1" xfId="0" applyFont="1" applyFill="1" applyBorder="1" applyAlignment="1">
      <alignment horizontal="right"/>
    </xf>
    <xf numFmtId="0" fontId="3" fillId="10" borderId="36" xfId="0" applyFont="1" applyFill="1" applyBorder="1"/>
    <xf numFmtId="0" fontId="3" fillId="10" borderId="1" xfId="0" applyFont="1" applyFill="1" applyBorder="1" applyAlignment="1">
      <alignment wrapText="1"/>
    </xf>
    <xf numFmtId="0" fontId="3" fillId="10" borderId="1" xfId="0" applyFont="1" applyFill="1" applyBorder="1"/>
    <xf numFmtId="0" fontId="9" fillId="18" borderId="1" xfId="0" applyFont="1" applyFill="1" applyBorder="1" applyAlignment="1">
      <alignment horizontal="right"/>
    </xf>
    <xf numFmtId="0" fontId="3" fillId="18" borderId="36" xfId="0" applyFont="1" applyFill="1" applyBorder="1"/>
    <xf numFmtId="0" fontId="3" fillId="18" borderId="1" xfId="0" applyFont="1" applyFill="1" applyBorder="1" applyAlignment="1">
      <alignment wrapText="1"/>
    </xf>
    <xf numFmtId="0" fontId="3" fillId="18" borderId="1" xfId="0" applyFont="1" applyFill="1" applyBorder="1"/>
    <xf numFmtId="0" fontId="9" fillId="19" borderId="1" xfId="0" applyFont="1" applyFill="1" applyBorder="1" applyAlignment="1">
      <alignment horizontal="right"/>
    </xf>
    <xf numFmtId="0" fontId="3" fillId="19" borderId="1" xfId="0" applyFont="1" applyFill="1" applyBorder="1"/>
    <xf numFmtId="0" fontId="3" fillId="19" borderId="1" xfId="0" applyFont="1" applyFill="1" applyBorder="1" applyAlignment="1">
      <alignment wrapText="1"/>
    </xf>
    <xf numFmtId="0" fontId="32" fillId="20" borderId="1" xfId="0" applyFont="1" applyFill="1" applyBorder="1" applyAlignment="1">
      <alignment horizontal="right"/>
    </xf>
    <xf numFmtId="0" fontId="33" fillId="20" borderId="1" xfId="0" applyFont="1" applyFill="1" applyBorder="1" applyAlignment="1">
      <alignment wrapText="1"/>
    </xf>
    <xf numFmtId="0" fontId="33" fillId="20" borderId="1" xfId="0" applyFont="1" applyFill="1" applyBorder="1"/>
    <xf numFmtId="0" fontId="32" fillId="21" borderId="1" xfId="0" applyFont="1" applyFill="1" applyBorder="1" applyAlignment="1">
      <alignment horizontal="right"/>
    </xf>
    <xf numFmtId="0" fontId="33" fillId="21" borderId="1" xfId="0" applyFont="1" applyFill="1" applyBorder="1"/>
    <xf numFmtId="0" fontId="33" fillId="21" borderId="1" xfId="0" applyFont="1" applyFill="1" applyBorder="1" applyAlignment="1">
      <alignment wrapText="1"/>
    </xf>
    <xf numFmtId="0" fontId="5" fillId="5" borderId="1" xfId="0" applyFont="1" applyFill="1" applyBorder="1" applyAlignment="1">
      <alignment horizontal="right"/>
    </xf>
    <xf numFmtId="0" fontId="5" fillId="5" borderId="1" xfId="0" applyFont="1" applyFill="1" applyBorder="1"/>
    <xf numFmtId="0" fontId="5" fillId="3" borderId="37" xfId="0" applyFont="1" applyFill="1" applyBorder="1"/>
    <xf numFmtId="0" fontId="5" fillId="3" borderId="37" xfId="0" applyFont="1" applyFill="1" applyBorder="1" applyAlignment="1">
      <alignment horizontal="center"/>
    </xf>
    <xf numFmtId="0" fontId="3" fillId="3" borderId="37" xfId="0" applyFont="1" applyFill="1" applyBorder="1"/>
    <xf numFmtId="0" fontId="3" fillId="3" borderId="37" xfId="0" applyFont="1" applyFill="1" applyBorder="1" applyAlignment="1">
      <alignment horizontal="center"/>
    </xf>
    <xf numFmtId="2" fontId="3" fillId="3" borderId="37" xfId="0" applyNumberFormat="1" applyFont="1" applyFill="1" applyBorder="1" applyAlignment="1">
      <alignment horizontal="center" vertical="center"/>
    </xf>
    <xf numFmtId="2" fontId="3" fillId="3" borderId="37" xfId="0" applyNumberFormat="1" applyFont="1" applyFill="1" applyBorder="1"/>
    <xf numFmtId="165" fontId="3" fillId="3" borderId="37" xfId="0" applyNumberFormat="1" applyFont="1" applyFill="1" applyBorder="1" applyAlignment="1">
      <alignment horizontal="center"/>
    </xf>
    <xf numFmtId="2" fontId="3" fillId="3" borderId="37" xfId="0" applyNumberFormat="1" applyFont="1" applyFill="1" applyBorder="1" applyAlignment="1">
      <alignment horizontal="center"/>
    </xf>
    <xf numFmtId="168" fontId="3" fillId="3" borderId="37" xfId="0" applyNumberFormat="1" applyFont="1" applyFill="1" applyBorder="1" applyAlignment="1">
      <alignment horizontal="center"/>
    </xf>
    <xf numFmtId="0" fontId="36" fillId="3" borderId="0" xfId="9" applyFont="1" applyFill="1"/>
    <xf numFmtId="0" fontId="3" fillId="3" borderId="0" xfId="9" applyFont="1" applyFill="1"/>
    <xf numFmtId="0" fontId="5" fillId="22" borderId="0" xfId="9" applyFont="1" applyFill="1"/>
    <xf numFmtId="0" fontId="3" fillId="3" borderId="3" xfId="9" applyFont="1" applyFill="1" applyBorder="1"/>
    <xf numFmtId="0" fontId="3" fillId="3" borderId="25" xfId="9" applyFont="1" applyFill="1" applyBorder="1"/>
    <xf numFmtId="0" fontId="3" fillId="0" borderId="25" xfId="9" applyFont="1" applyBorder="1"/>
    <xf numFmtId="0" fontId="3" fillId="3" borderId="4" xfId="9" applyFont="1" applyFill="1" applyBorder="1"/>
    <xf numFmtId="0" fontId="3" fillId="3" borderId="5" xfId="9" applyFont="1" applyFill="1" applyBorder="1"/>
    <xf numFmtId="0" fontId="3" fillId="3" borderId="6" xfId="9" applyFont="1" applyFill="1" applyBorder="1"/>
    <xf numFmtId="0" fontId="3" fillId="3" borderId="7" xfId="9" applyFont="1" applyFill="1" applyBorder="1"/>
    <xf numFmtId="0" fontId="5" fillId="3" borderId="1" xfId="9" applyFont="1" applyFill="1" applyBorder="1" applyAlignment="1">
      <alignment horizontal="center" vertical="center" wrapText="1"/>
    </xf>
    <xf numFmtId="0" fontId="5" fillId="3" borderId="16" xfId="9" applyFont="1" applyFill="1" applyBorder="1" applyAlignment="1">
      <alignment horizontal="center" vertical="center" wrapText="1"/>
    </xf>
    <xf numFmtId="0" fontId="3" fillId="0" borderId="0" xfId="9" applyFont="1"/>
    <xf numFmtId="0" fontId="3" fillId="3" borderId="15" xfId="9" applyFont="1" applyFill="1" applyBorder="1"/>
    <xf numFmtId="0" fontId="3" fillId="3" borderId="1" xfId="9" applyFont="1" applyFill="1" applyBorder="1"/>
    <xf numFmtId="2" fontId="3" fillId="3" borderId="14" xfId="9" applyNumberFormat="1" applyFont="1" applyFill="1" applyBorder="1"/>
    <xf numFmtId="2" fontId="3" fillId="3" borderId="31" xfId="9" applyNumberFormat="1" applyFont="1" applyFill="1" applyBorder="1"/>
    <xf numFmtId="2" fontId="3" fillId="3" borderId="0" xfId="9" applyNumberFormat="1" applyFont="1" applyFill="1"/>
    <xf numFmtId="0" fontId="3" fillId="3" borderId="24" xfId="9" applyFont="1" applyFill="1" applyBorder="1"/>
    <xf numFmtId="9" fontId="3" fillId="3" borderId="25" xfId="10" applyFont="1" applyFill="1" applyBorder="1"/>
    <xf numFmtId="9" fontId="3" fillId="3" borderId="26" xfId="10" applyFont="1" applyFill="1" applyBorder="1"/>
    <xf numFmtId="9" fontId="3" fillId="3" borderId="0" xfId="9" applyNumberFormat="1" applyFont="1" applyFill="1"/>
    <xf numFmtId="0" fontId="17" fillId="3" borderId="4" xfId="9" applyFont="1" applyFill="1" applyBorder="1" applyAlignment="1">
      <alignment horizontal="center"/>
    </xf>
    <xf numFmtId="0" fontId="5" fillId="3" borderId="0" xfId="9" applyFont="1" applyFill="1" applyAlignment="1">
      <alignment horizontal="center" vertical="center" wrapText="1"/>
    </xf>
    <xf numFmtId="0" fontId="3" fillId="3" borderId="0" xfId="9" applyFont="1" applyFill="1" applyAlignment="1">
      <alignment horizontal="center" vertical="center" wrapText="1"/>
    </xf>
    <xf numFmtId="170" fontId="17" fillId="3" borderId="1" xfId="9" applyNumberFormat="1" applyFont="1" applyFill="1" applyBorder="1" applyAlignment="1">
      <alignment horizontal="center"/>
    </xf>
    <xf numFmtId="171" fontId="5" fillId="3" borderId="1" xfId="9" applyNumberFormat="1" applyFont="1" applyFill="1" applyBorder="1" applyAlignment="1">
      <alignment horizontal="center" vertical="center" wrapText="1"/>
    </xf>
    <xf numFmtId="171" fontId="5" fillId="3" borderId="16" xfId="9" applyNumberFormat="1" applyFont="1" applyFill="1" applyBorder="1" applyAlignment="1">
      <alignment horizontal="center" vertical="center" wrapText="1"/>
    </xf>
    <xf numFmtId="0" fontId="37" fillId="3" borderId="15" xfId="9" applyFont="1" applyFill="1" applyBorder="1" applyAlignment="1">
      <alignment horizontal="left" indent="1"/>
    </xf>
    <xf numFmtId="0" fontId="37" fillId="3" borderId="1" xfId="9" applyFont="1" applyFill="1" applyBorder="1"/>
    <xf numFmtId="170" fontId="38" fillId="3" borderId="2" xfId="9" applyNumberFormat="1" applyFont="1" applyFill="1" applyBorder="1" applyAlignment="1">
      <alignment horizontal="center"/>
    </xf>
    <xf numFmtId="171" fontId="37" fillId="23" borderId="1" xfId="11" applyNumberFormat="1" applyFont="1" applyFill="1" applyBorder="1" applyAlignment="1">
      <alignment horizontal="center"/>
    </xf>
    <xf numFmtId="171" fontId="37" fillId="3" borderId="1" xfId="11" applyNumberFormat="1" applyFont="1" applyFill="1" applyBorder="1" applyAlignment="1">
      <alignment horizontal="center"/>
    </xf>
    <xf numFmtId="171" fontId="37" fillId="3" borderId="16" xfId="11" applyNumberFormat="1" applyFont="1" applyFill="1" applyBorder="1" applyAlignment="1">
      <alignment horizontal="center"/>
    </xf>
    <xf numFmtId="171" fontId="3" fillId="3" borderId="0" xfId="11" applyNumberFormat="1" applyFont="1" applyFill="1" applyBorder="1" applyAlignment="1">
      <alignment horizontal="left"/>
    </xf>
    <xf numFmtId="171" fontId="3" fillId="3" borderId="0" xfId="11" applyNumberFormat="1" applyFont="1" applyFill="1" applyBorder="1" applyAlignment="1">
      <alignment horizontal="center"/>
    </xf>
    <xf numFmtId="9" fontId="37" fillId="3" borderId="1" xfId="10" applyFont="1" applyFill="1" applyBorder="1" applyAlignment="1">
      <alignment horizontal="center"/>
    </xf>
    <xf numFmtId="9" fontId="37" fillId="3" borderId="16" xfId="10" applyFont="1" applyFill="1" applyBorder="1" applyAlignment="1">
      <alignment horizontal="center"/>
    </xf>
    <xf numFmtId="0" fontId="3" fillId="23" borderId="1" xfId="9" applyFont="1" applyFill="1" applyBorder="1" applyAlignment="1">
      <alignment horizontal="right"/>
    </xf>
    <xf numFmtId="0" fontId="3" fillId="3" borderId="1" xfId="9" applyFont="1" applyFill="1" applyBorder="1" applyAlignment="1">
      <alignment horizontal="right"/>
    </xf>
    <xf numFmtId="0" fontId="3" fillId="3" borderId="16" xfId="9" applyFont="1" applyFill="1" applyBorder="1" applyAlignment="1">
      <alignment horizontal="right"/>
    </xf>
    <xf numFmtId="172" fontId="3" fillId="23" borderId="1" xfId="10" applyNumberFormat="1" applyFont="1" applyFill="1" applyBorder="1" applyAlignment="1">
      <alignment horizontal="right"/>
    </xf>
    <xf numFmtId="172" fontId="3" fillId="3" borderId="1" xfId="10" applyNumberFormat="1" applyFont="1" applyFill="1" applyBorder="1" applyAlignment="1">
      <alignment horizontal="right"/>
    </xf>
    <xf numFmtId="172" fontId="3" fillId="3" borderId="16" xfId="10" applyNumberFormat="1" applyFont="1" applyFill="1" applyBorder="1" applyAlignment="1">
      <alignment horizontal="right"/>
    </xf>
    <xf numFmtId="0" fontId="5" fillId="3" borderId="15" xfId="9" applyFont="1" applyFill="1" applyBorder="1"/>
    <xf numFmtId="0" fontId="5" fillId="3" borderId="1" xfId="9" applyFont="1" applyFill="1" applyBorder="1"/>
    <xf numFmtId="173" fontId="5" fillId="3" borderId="1" xfId="9" applyNumberFormat="1" applyFont="1" applyFill="1" applyBorder="1"/>
    <xf numFmtId="173" fontId="5" fillId="3" borderId="16" xfId="9" applyNumberFormat="1" applyFont="1" applyFill="1" applyBorder="1"/>
    <xf numFmtId="0" fontId="3" fillId="3" borderId="0" xfId="9" applyFont="1" applyFill="1" applyAlignment="1">
      <alignment horizontal="right"/>
    </xf>
    <xf numFmtId="0" fontId="3" fillId="3" borderId="11" xfId="9" applyFont="1" applyFill="1" applyBorder="1"/>
    <xf numFmtId="0" fontId="3" fillId="3" borderId="12" xfId="9" applyFont="1" applyFill="1" applyBorder="1"/>
    <xf numFmtId="171" fontId="3" fillId="24" borderId="13" xfId="11" applyNumberFormat="1" applyFont="1" applyFill="1" applyBorder="1" applyAlignment="1">
      <alignment horizontal="right"/>
    </xf>
    <xf numFmtId="0" fontId="3" fillId="3" borderId="39" xfId="9" applyFont="1" applyFill="1" applyBorder="1" applyAlignment="1">
      <alignment horizontal="left" vertical="center" wrapText="1"/>
    </xf>
    <xf numFmtId="0" fontId="3" fillId="3" borderId="20" xfId="9" applyFont="1" applyFill="1" applyBorder="1"/>
    <xf numFmtId="171" fontId="3" fillId="23" borderId="20" xfId="11" applyNumberFormat="1" applyFont="1" applyFill="1" applyBorder="1" applyAlignment="1">
      <alignment horizontal="right"/>
    </xf>
    <xf numFmtId="171" fontId="3" fillId="3" borderId="0" xfId="11" applyNumberFormat="1" applyFont="1" applyFill="1" applyBorder="1" applyAlignment="1">
      <alignment horizontal="right"/>
    </xf>
    <xf numFmtId="0" fontId="3" fillId="3" borderId="32" xfId="9" applyFont="1" applyFill="1" applyBorder="1"/>
    <xf numFmtId="0" fontId="3" fillId="3" borderId="33" xfId="9" applyFont="1" applyFill="1" applyBorder="1"/>
    <xf numFmtId="171" fontId="5" fillId="3" borderId="33" xfId="9" applyNumberFormat="1" applyFont="1" applyFill="1" applyBorder="1"/>
    <xf numFmtId="171" fontId="5" fillId="3" borderId="45" xfId="9" applyNumberFormat="1" applyFont="1" applyFill="1" applyBorder="1"/>
    <xf numFmtId="171" fontId="3" fillId="3" borderId="0" xfId="9" applyNumberFormat="1" applyFont="1" applyFill="1"/>
    <xf numFmtId="0" fontId="5" fillId="22" borderId="40" xfId="9" applyFont="1" applyFill="1" applyBorder="1"/>
    <xf numFmtId="0" fontId="5" fillId="3" borderId="4" xfId="9" applyFont="1" applyFill="1" applyBorder="1" applyAlignment="1">
      <alignment horizontal="center"/>
    </xf>
    <xf numFmtId="0" fontId="5" fillId="3" borderId="3" xfId="9" applyFont="1" applyFill="1" applyBorder="1" applyAlignment="1">
      <alignment horizontal="center"/>
    </xf>
    <xf numFmtId="0" fontId="5" fillId="3" borderId="5" xfId="9" applyFont="1" applyFill="1" applyBorder="1" applyAlignment="1">
      <alignment horizontal="center"/>
    </xf>
    <xf numFmtId="0" fontId="5" fillId="3" borderId="6" xfId="9" applyFont="1" applyFill="1" applyBorder="1" applyAlignment="1">
      <alignment horizontal="center"/>
    </xf>
    <xf numFmtId="0" fontId="5" fillId="3" borderId="0" xfId="9" applyFont="1" applyFill="1" applyAlignment="1">
      <alignment horizontal="center"/>
    </xf>
    <xf numFmtId="0" fontId="5" fillId="3" borderId="7" xfId="9" applyFont="1" applyFill="1" applyBorder="1" applyAlignment="1">
      <alignment horizontal="center"/>
    </xf>
    <xf numFmtId="0" fontId="5" fillId="3" borderId="9" xfId="9" applyFont="1" applyFill="1" applyBorder="1" applyAlignment="1">
      <alignment horizontal="center" vertical="center" wrapText="1"/>
    </xf>
    <xf numFmtId="0" fontId="5" fillId="3" borderId="10" xfId="9" applyFont="1" applyFill="1" applyBorder="1" applyAlignment="1">
      <alignment horizontal="center" vertical="center" wrapText="1"/>
    </xf>
    <xf numFmtId="0" fontId="5" fillId="3" borderId="44" xfId="9" applyFont="1" applyFill="1" applyBorder="1" applyAlignment="1">
      <alignment horizontal="center" vertical="center"/>
    </xf>
    <xf numFmtId="0" fontId="5" fillId="3" borderId="6" xfId="9" applyFont="1" applyFill="1" applyBorder="1" applyAlignment="1">
      <alignment horizontal="center" vertical="center" wrapText="1"/>
    </xf>
    <xf numFmtId="0" fontId="5" fillId="3" borderId="7" xfId="9" applyFont="1" applyFill="1" applyBorder="1" applyAlignment="1">
      <alignment horizontal="center" vertical="center" wrapText="1"/>
    </xf>
    <xf numFmtId="0" fontId="3" fillId="3" borderId="42" xfId="9" applyFont="1" applyFill="1" applyBorder="1" applyAlignment="1">
      <alignment horizontal="center"/>
    </xf>
    <xf numFmtId="171" fontId="3" fillId="3" borderId="3" xfId="11" applyNumberFormat="1" applyFont="1" applyFill="1" applyBorder="1" applyAlignment="1">
      <alignment horizontal="center"/>
    </xf>
    <xf numFmtId="171" fontId="3" fillId="3" borderId="4" xfId="11" applyNumberFormat="1" applyFont="1" applyFill="1" applyBorder="1" applyAlignment="1">
      <alignment horizontal="center"/>
    </xf>
    <xf numFmtId="171" fontId="3" fillId="3" borderId="5" xfId="11" applyNumberFormat="1" applyFont="1" applyFill="1" applyBorder="1"/>
    <xf numFmtId="171" fontId="3" fillId="3" borderId="5" xfId="9" applyNumberFormat="1" applyFont="1" applyFill="1" applyBorder="1"/>
    <xf numFmtId="171" fontId="3" fillId="3" borderId="3" xfId="9" applyNumberFormat="1" applyFont="1" applyFill="1" applyBorder="1"/>
    <xf numFmtId="171" fontId="3" fillId="3" borderId="4" xfId="9" applyNumberFormat="1" applyFont="1" applyFill="1" applyBorder="1"/>
    <xf numFmtId="169" fontId="3" fillId="3" borderId="6" xfId="9" applyNumberFormat="1" applyFont="1" applyFill="1" applyBorder="1"/>
    <xf numFmtId="169" fontId="3" fillId="3" borderId="0" xfId="11" applyFont="1" applyFill="1" applyBorder="1"/>
    <xf numFmtId="171" fontId="3" fillId="3" borderId="6" xfId="11" applyNumberFormat="1" applyFont="1" applyFill="1" applyBorder="1"/>
    <xf numFmtId="171" fontId="3" fillId="3" borderId="0" xfId="11" applyNumberFormat="1" applyFont="1" applyFill="1" applyBorder="1"/>
    <xf numFmtId="171" fontId="3" fillId="3" borderId="7" xfId="11" applyNumberFormat="1" applyFont="1" applyFill="1" applyBorder="1"/>
    <xf numFmtId="171" fontId="3" fillId="3" borderId="7" xfId="9" applyNumberFormat="1" applyFont="1" applyFill="1" applyBorder="1"/>
    <xf numFmtId="171" fontId="3" fillId="3" borderId="6" xfId="9" applyNumberFormat="1" applyFont="1" applyFill="1" applyBorder="1"/>
    <xf numFmtId="169" fontId="3" fillId="3" borderId="0" xfId="9" applyNumberFormat="1" applyFont="1" applyFill="1"/>
    <xf numFmtId="0" fontId="3" fillId="3" borderId="40" xfId="9" applyFont="1" applyFill="1" applyBorder="1"/>
    <xf numFmtId="0" fontId="3" fillId="3" borderId="48" xfId="9" applyFont="1" applyFill="1" applyBorder="1" applyAlignment="1">
      <alignment horizontal="center"/>
    </xf>
    <xf numFmtId="171" fontId="3" fillId="3" borderId="47" xfId="11" applyNumberFormat="1" applyFont="1" applyFill="1" applyBorder="1"/>
    <xf numFmtId="171" fontId="3" fillId="3" borderId="40" xfId="11" applyNumberFormat="1" applyFont="1" applyFill="1" applyBorder="1"/>
    <xf numFmtId="171" fontId="3" fillId="3" borderId="49" xfId="11" applyNumberFormat="1" applyFont="1" applyFill="1" applyBorder="1"/>
    <xf numFmtId="171" fontId="3" fillId="3" borderId="49" xfId="9" applyNumberFormat="1" applyFont="1" applyFill="1" applyBorder="1"/>
    <xf numFmtId="171" fontId="3" fillId="3" borderId="47" xfId="9" applyNumberFormat="1" applyFont="1" applyFill="1" applyBorder="1"/>
    <xf numFmtId="171" fontId="3" fillId="3" borderId="40" xfId="9" applyNumberFormat="1" applyFont="1" applyFill="1" applyBorder="1"/>
    <xf numFmtId="169" fontId="3" fillId="3" borderId="47" xfId="9" applyNumberFormat="1" applyFont="1" applyFill="1" applyBorder="1"/>
    <xf numFmtId="169" fontId="3" fillId="3" borderId="40" xfId="11" applyFont="1" applyFill="1" applyBorder="1"/>
    <xf numFmtId="169" fontId="3" fillId="3" borderId="40" xfId="9" applyNumberFormat="1" applyFont="1" applyFill="1" applyBorder="1"/>
    <xf numFmtId="174" fontId="3" fillId="3" borderId="0" xfId="9" applyNumberFormat="1" applyFont="1" applyFill="1"/>
    <xf numFmtId="0" fontId="39" fillId="3" borderId="0" xfId="9" applyFont="1" applyFill="1" applyAlignment="1">
      <alignment vertical="center"/>
    </xf>
    <xf numFmtId="0" fontId="40" fillId="3" borderId="0" xfId="9" applyFont="1" applyFill="1"/>
    <xf numFmtId="0" fontId="3" fillId="3" borderId="37" xfId="0" applyFont="1" applyFill="1" applyBorder="1" applyAlignment="1">
      <alignment horizontal="center" vertical="center"/>
    </xf>
    <xf numFmtId="171" fontId="3" fillId="3" borderId="20" xfId="11" applyNumberFormat="1" applyFont="1" applyFill="1" applyBorder="1" applyAlignment="1">
      <alignment horizontal="right"/>
    </xf>
    <xf numFmtId="171" fontId="3" fillId="3" borderId="46" xfId="11" applyNumberFormat="1" applyFont="1" applyFill="1" applyBorder="1" applyAlignment="1">
      <alignment horizontal="left"/>
    </xf>
    <xf numFmtId="171" fontId="3" fillId="0" borderId="21" xfId="11" applyNumberFormat="1" applyFont="1" applyFill="1" applyBorder="1" applyAlignment="1">
      <alignment horizontal="right"/>
    </xf>
    <xf numFmtId="0" fontId="5" fillId="3" borderId="0" xfId="9" applyFont="1" applyFill="1"/>
    <xf numFmtId="0" fontId="3" fillId="2" borderId="1" xfId="0" applyFont="1" applyFill="1" applyBorder="1" applyAlignment="1">
      <alignment horizontal="center" wrapText="1"/>
    </xf>
    <xf numFmtId="2" fontId="17" fillId="0" borderId="22" xfId="0" applyNumberFormat="1" applyFont="1" applyBorder="1" applyAlignment="1">
      <alignment horizontal="center"/>
    </xf>
    <xf numFmtId="2" fontId="17" fillId="0" borderId="34" xfId="0" applyNumberFormat="1" applyFont="1" applyBorder="1" applyAlignment="1">
      <alignment horizontal="center"/>
    </xf>
    <xf numFmtId="2" fontId="17" fillId="0" borderId="35" xfId="0" applyNumberFormat="1" applyFont="1" applyBorder="1" applyAlignment="1">
      <alignment horizontal="center"/>
    </xf>
    <xf numFmtId="0" fontId="5" fillId="3" borderId="41" xfId="9" applyFont="1" applyFill="1" applyBorder="1" applyAlignment="1">
      <alignment horizontal="center" vertical="center"/>
    </xf>
    <xf numFmtId="0" fontId="5" fillId="3" borderId="42" xfId="9" applyFont="1" applyFill="1" applyBorder="1" applyAlignment="1">
      <alignment horizontal="center" vertical="center"/>
    </xf>
    <xf numFmtId="0" fontId="5" fillId="3" borderId="43" xfId="9" applyFont="1" applyFill="1" applyBorder="1" applyAlignment="1">
      <alignment horizontal="center" vertical="center"/>
    </xf>
    <xf numFmtId="0" fontId="17" fillId="3" borderId="38" xfId="0" applyFont="1" applyFill="1" applyBorder="1" applyAlignment="1">
      <alignment horizontal="center" vertical="center"/>
    </xf>
  </cellXfs>
  <cellStyles count="12">
    <cellStyle name="Collegamento ipertestuale" xfId="2" builtinId="8"/>
    <cellStyle name="Collegamento ipertestuale 2" xfId="3" xr:uid="{036823D8-1DDC-4063-BCCD-C9895A896BA4}"/>
    <cellStyle name="Milliers 2" xfId="8" xr:uid="{3E86C520-D0E3-4729-8797-7CB2922288CD}"/>
    <cellStyle name="Milliers 2 2" xfId="11" xr:uid="{FFA35C20-0614-4819-8C03-C76D82460C57}"/>
    <cellStyle name="Normal 4" xfId="6" xr:uid="{3FFCC42D-0724-4773-BFF0-ECF3AFA401C1}"/>
    <cellStyle name="Normal 4 2" xfId="9" xr:uid="{5D504152-009B-4278-BE5F-55EEF3F36300}"/>
    <cellStyle name="Normale" xfId="0" builtinId="0"/>
    <cellStyle name="Normale 2" xfId="5" xr:uid="{643974D8-1F2B-45A2-BE81-9869D04176DF}"/>
    <cellStyle name="Normale 2 2" xfId="4" xr:uid="{6E71EB05-226B-4015-9428-E7231786D7FF}"/>
    <cellStyle name="Percentuale" xfId="1" builtinId="5"/>
    <cellStyle name="Pourcentage 2" xfId="7" xr:uid="{3B06874E-0F6A-44BD-8A5C-D02EB4439593}"/>
    <cellStyle name="Pourcentage 2 2" xfId="10" xr:uid="{2D6465BB-0B61-4FDC-88FA-B65C09BABCC6}"/>
  </cellStyles>
  <dxfs count="0"/>
  <tableStyles count="0" defaultTableStyle="TableStyleMedium2" defaultPivotStyle="PivotStyleLight16"/>
  <colors>
    <mruColors>
      <color rgb="FF800074"/>
      <color rgb="FFEDDCA6"/>
      <color rgb="FFD19797"/>
      <color rgb="FFC99B38"/>
      <color rgb="FFA2C8D0"/>
      <color rgb="FFEDDCA5"/>
      <color rgb="FF00B0BE"/>
      <color rgb="FF8FD7D7"/>
      <color rgb="FFF55F74"/>
      <color rgb="FF69CA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9" Type="http://schemas.openxmlformats.org/officeDocument/2006/relationships/calcChain" Target="calcChain.xml"/><Relationship Id="rId21" Type="http://schemas.openxmlformats.org/officeDocument/2006/relationships/externalLink" Target="externalLinks/externalLink1.xml"/><Relationship Id="rId34" Type="http://schemas.microsoft.com/office/2017/06/relationships/richStyles" Target="richData/richStyles.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microsoft.com/office/2017/06/relationships/rdRichValueStructure" Target="richData/rdrichvaluestructure.xml"/><Relationship Id="rId37" Type="http://schemas.microsoft.com/office/2017/06/relationships/rdRichValueTypes" Target="richData/rdRichValueTyp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36" Type="http://schemas.microsoft.com/office/2017/06/relationships/rdSupportingPropertyBag" Target="richData/rdsupportingpropertybag.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 Id="rId30" Type="http://schemas.microsoft.com/office/2020/07/relationships/rdRichValueWebImage" Target="richData/rdRichValueWebImage.xml"/><Relationship Id="rId35" Type="http://schemas.microsoft.com/office/2017/06/relationships/rdSupportingPropertyBagStructure" Target="richData/rdsupportingpropertybagstructur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microsoft.com/office/2017/06/relationships/rdArray" Target="richData/rdarray.xml"/><Relationship Id="rId38"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0805798807863E-2"/>
          <c:y val="6.457346901404766E-2"/>
          <c:w val="0.54639966149091168"/>
          <c:h val="0.86290419727684786"/>
        </c:manualLayout>
      </c:layout>
      <c:barChart>
        <c:barDir val="col"/>
        <c:grouping val="stacked"/>
        <c:varyColors val="0"/>
        <c:ser>
          <c:idx val="0"/>
          <c:order val="0"/>
          <c:tx>
            <c:strRef>
              <c:f>'S11_Pilot Scale LCA'!$A$3</c:f>
              <c:strCache>
                <c:ptCount val="1"/>
                <c:pt idx="0">
                  <c:v>Acidification</c:v>
                </c:pt>
              </c:strCache>
            </c:strRef>
          </c:tx>
          <c:spPr>
            <a:solidFill>
              <a:schemeClr val="accent6"/>
            </a:solidFill>
            <a:ln>
              <a:noFill/>
            </a:ln>
            <a:effectLst/>
          </c:spPr>
          <c:invertIfNegative val="0"/>
          <c:cat>
            <c:strRef>
              <c:f>'S11_Pilot Scale LCA'!$B$2:$D$2</c:f>
              <c:strCache>
                <c:ptCount val="3"/>
                <c:pt idx="0">
                  <c:v>UASB</c:v>
                </c:pt>
                <c:pt idx="1">
                  <c:v>ACW</c:v>
                </c:pt>
                <c:pt idx="2">
                  <c:v>MIPs</c:v>
                </c:pt>
              </c:strCache>
            </c:strRef>
          </c:cat>
          <c:val>
            <c:numRef>
              <c:f>'S11_Pilot Scale LCA'!$B$3:$D$3</c:f>
              <c:numCache>
                <c:formatCode>0.00</c:formatCode>
                <c:ptCount val="3"/>
                <c:pt idx="0">
                  <c:v>0.19313932</c:v>
                </c:pt>
                <c:pt idx="1">
                  <c:v>0.34213062999999999</c:v>
                </c:pt>
                <c:pt idx="2">
                  <c:v>0.73557494999999995</c:v>
                </c:pt>
              </c:numCache>
            </c:numRef>
          </c:val>
          <c:extLst>
            <c:ext xmlns:c16="http://schemas.microsoft.com/office/drawing/2014/chart" uri="{C3380CC4-5D6E-409C-BE32-E72D297353CC}">
              <c16:uniqueId val="{00000000-43AA-4954-B5B0-1D339834DB9A}"/>
            </c:ext>
          </c:extLst>
        </c:ser>
        <c:ser>
          <c:idx val="1"/>
          <c:order val="1"/>
          <c:tx>
            <c:strRef>
              <c:f>'S11_Pilot Scale LCA'!$A$4</c:f>
              <c:strCache>
                <c:ptCount val="1"/>
                <c:pt idx="0">
                  <c:v>Climate change</c:v>
                </c:pt>
              </c:strCache>
            </c:strRef>
          </c:tx>
          <c:spPr>
            <a:solidFill>
              <a:schemeClr val="accent5"/>
            </a:solidFill>
            <a:ln>
              <a:noFill/>
            </a:ln>
            <a:effectLst/>
          </c:spPr>
          <c:invertIfNegative val="0"/>
          <c:cat>
            <c:strRef>
              <c:f>'S11_Pilot Scale LCA'!$B$2:$D$2</c:f>
              <c:strCache>
                <c:ptCount val="3"/>
                <c:pt idx="0">
                  <c:v>UASB</c:v>
                </c:pt>
                <c:pt idx="1">
                  <c:v>ACW</c:v>
                </c:pt>
                <c:pt idx="2">
                  <c:v>MIPs</c:v>
                </c:pt>
              </c:strCache>
            </c:strRef>
          </c:cat>
          <c:val>
            <c:numRef>
              <c:f>'S11_Pilot Scale LCA'!$B$4:$D$4</c:f>
              <c:numCache>
                <c:formatCode>0.00</c:formatCode>
                <c:ptCount val="3"/>
                <c:pt idx="0">
                  <c:v>0.93654948000000005</c:v>
                </c:pt>
                <c:pt idx="1">
                  <c:v>4.2359147000000004</c:v>
                </c:pt>
                <c:pt idx="2">
                  <c:v>7.5156125999999999</c:v>
                </c:pt>
              </c:numCache>
            </c:numRef>
          </c:val>
          <c:extLst>
            <c:ext xmlns:c16="http://schemas.microsoft.com/office/drawing/2014/chart" uri="{C3380CC4-5D6E-409C-BE32-E72D297353CC}">
              <c16:uniqueId val="{00000001-43AA-4954-B5B0-1D339834DB9A}"/>
            </c:ext>
          </c:extLst>
        </c:ser>
        <c:ser>
          <c:idx val="2"/>
          <c:order val="2"/>
          <c:tx>
            <c:strRef>
              <c:f>'S11_Pilot Scale LCA'!$A$5</c:f>
              <c:strCache>
                <c:ptCount val="1"/>
                <c:pt idx="0">
                  <c:v>Ecotoxicity, freshwater</c:v>
                </c:pt>
              </c:strCache>
            </c:strRef>
          </c:tx>
          <c:spPr>
            <a:solidFill>
              <a:schemeClr val="accent4"/>
            </a:solidFill>
            <a:ln>
              <a:noFill/>
            </a:ln>
            <a:effectLst/>
          </c:spPr>
          <c:invertIfNegative val="0"/>
          <c:cat>
            <c:strRef>
              <c:f>'S11_Pilot Scale LCA'!$B$2:$D$2</c:f>
              <c:strCache>
                <c:ptCount val="3"/>
                <c:pt idx="0">
                  <c:v>UASB</c:v>
                </c:pt>
                <c:pt idx="1">
                  <c:v>ACW</c:v>
                </c:pt>
                <c:pt idx="2">
                  <c:v>MIPs</c:v>
                </c:pt>
              </c:strCache>
            </c:strRef>
          </c:cat>
          <c:val>
            <c:numRef>
              <c:f>'S11_Pilot Scale LCA'!$B$5:$D$5</c:f>
              <c:numCache>
                <c:formatCode>0.00</c:formatCode>
                <c:ptCount val="3"/>
                <c:pt idx="0">
                  <c:v>3.4262859E-2</c:v>
                </c:pt>
                <c:pt idx="1">
                  <c:v>3.9141531E-2</c:v>
                </c:pt>
                <c:pt idx="2">
                  <c:v>0.68468057999999998</c:v>
                </c:pt>
              </c:numCache>
            </c:numRef>
          </c:val>
          <c:extLst>
            <c:ext xmlns:c16="http://schemas.microsoft.com/office/drawing/2014/chart" uri="{C3380CC4-5D6E-409C-BE32-E72D297353CC}">
              <c16:uniqueId val="{00000002-43AA-4954-B5B0-1D339834DB9A}"/>
            </c:ext>
          </c:extLst>
        </c:ser>
        <c:ser>
          <c:idx val="3"/>
          <c:order val="3"/>
          <c:tx>
            <c:strRef>
              <c:f>'S11_Pilot Scale LCA'!$A$6</c:f>
              <c:strCache>
                <c:ptCount val="1"/>
                <c:pt idx="0">
                  <c:v>Particulate matter</c:v>
                </c:pt>
              </c:strCache>
            </c:strRef>
          </c:tx>
          <c:spPr>
            <a:solidFill>
              <a:schemeClr val="accent6">
                <a:lumMod val="60000"/>
              </a:schemeClr>
            </a:solidFill>
            <a:ln>
              <a:noFill/>
            </a:ln>
            <a:effectLst/>
          </c:spPr>
          <c:invertIfNegative val="0"/>
          <c:cat>
            <c:strRef>
              <c:f>'S11_Pilot Scale LCA'!$B$2:$D$2</c:f>
              <c:strCache>
                <c:ptCount val="3"/>
                <c:pt idx="0">
                  <c:v>UASB</c:v>
                </c:pt>
                <c:pt idx="1">
                  <c:v>ACW</c:v>
                </c:pt>
                <c:pt idx="2">
                  <c:v>MIPs</c:v>
                </c:pt>
              </c:strCache>
            </c:strRef>
          </c:cat>
          <c:val>
            <c:numRef>
              <c:f>'S11_Pilot Scale LCA'!$B$6:$D$6</c:f>
              <c:numCache>
                <c:formatCode>0.00</c:formatCode>
                <c:ptCount val="3"/>
                <c:pt idx="0">
                  <c:v>0.28203947000000001</c:v>
                </c:pt>
                <c:pt idx="1">
                  <c:v>0.17856658</c:v>
                </c:pt>
                <c:pt idx="2">
                  <c:v>0.66545270999999995</c:v>
                </c:pt>
              </c:numCache>
            </c:numRef>
          </c:val>
          <c:extLst>
            <c:ext xmlns:c16="http://schemas.microsoft.com/office/drawing/2014/chart" uri="{C3380CC4-5D6E-409C-BE32-E72D297353CC}">
              <c16:uniqueId val="{00000003-43AA-4954-B5B0-1D339834DB9A}"/>
            </c:ext>
          </c:extLst>
        </c:ser>
        <c:ser>
          <c:idx val="4"/>
          <c:order val="4"/>
          <c:tx>
            <c:strRef>
              <c:f>'S11_Pilot Scale LCA'!$A$7</c:f>
              <c:strCache>
                <c:ptCount val="1"/>
                <c:pt idx="0">
                  <c:v>Eutrophication, marine</c:v>
                </c:pt>
              </c:strCache>
            </c:strRef>
          </c:tx>
          <c:spPr>
            <a:solidFill>
              <a:schemeClr val="accent5">
                <a:lumMod val="60000"/>
              </a:schemeClr>
            </a:solidFill>
            <a:ln>
              <a:noFill/>
            </a:ln>
            <a:effectLst/>
          </c:spPr>
          <c:invertIfNegative val="0"/>
          <c:cat>
            <c:strRef>
              <c:f>'S11_Pilot Scale LCA'!$B$2:$D$2</c:f>
              <c:strCache>
                <c:ptCount val="3"/>
                <c:pt idx="0">
                  <c:v>UASB</c:v>
                </c:pt>
                <c:pt idx="1">
                  <c:v>ACW</c:v>
                </c:pt>
                <c:pt idx="2">
                  <c:v>MIPs</c:v>
                </c:pt>
              </c:strCache>
            </c:strRef>
          </c:cat>
          <c:val>
            <c:numRef>
              <c:f>'S11_Pilot Scale LCA'!$B$7:$D$7</c:f>
              <c:numCache>
                <c:formatCode>0.00</c:formatCode>
                <c:ptCount val="3"/>
                <c:pt idx="0">
                  <c:v>4.1446450000000003E-2</c:v>
                </c:pt>
                <c:pt idx="1">
                  <c:v>8.6391636999999993E-2</c:v>
                </c:pt>
                <c:pt idx="2">
                  <c:v>0.22142213999999999</c:v>
                </c:pt>
              </c:numCache>
            </c:numRef>
          </c:val>
          <c:extLst>
            <c:ext xmlns:c16="http://schemas.microsoft.com/office/drawing/2014/chart" uri="{C3380CC4-5D6E-409C-BE32-E72D297353CC}">
              <c16:uniqueId val="{00000004-43AA-4954-B5B0-1D339834DB9A}"/>
            </c:ext>
          </c:extLst>
        </c:ser>
        <c:ser>
          <c:idx val="5"/>
          <c:order val="5"/>
          <c:tx>
            <c:strRef>
              <c:f>'S11_Pilot Scale LCA'!$A$8</c:f>
              <c:strCache>
                <c:ptCount val="1"/>
                <c:pt idx="0">
                  <c:v>Eutrophication, freshwater</c:v>
                </c:pt>
              </c:strCache>
            </c:strRef>
          </c:tx>
          <c:spPr>
            <a:solidFill>
              <a:schemeClr val="accent4">
                <a:lumMod val="60000"/>
              </a:schemeClr>
            </a:solidFill>
            <a:ln>
              <a:noFill/>
            </a:ln>
            <a:effectLst/>
          </c:spPr>
          <c:invertIfNegative val="0"/>
          <c:cat>
            <c:strRef>
              <c:f>'S11_Pilot Scale LCA'!$B$2:$D$2</c:f>
              <c:strCache>
                <c:ptCount val="3"/>
                <c:pt idx="0">
                  <c:v>UASB</c:v>
                </c:pt>
                <c:pt idx="1">
                  <c:v>ACW</c:v>
                </c:pt>
                <c:pt idx="2">
                  <c:v>MIPs</c:v>
                </c:pt>
              </c:strCache>
            </c:strRef>
          </c:cat>
          <c:val>
            <c:numRef>
              <c:f>'S11_Pilot Scale LCA'!$B$8:$D$8</c:f>
              <c:numCache>
                <c:formatCode>0.00</c:formatCode>
                <c:ptCount val="3"/>
                <c:pt idx="0">
                  <c:v>0.18832441</c:v>
                </c:pt>
                <c:pt idx="1">
                  <c:v>0.38315840000000001</c:v>
                </c:pt>
                <c:pt idx="2">
                  <c:v>1.1154776</c:v>
                </c:pt>
              </c:numCache>
            </c:numRef>
          </c:val>
          <c:extLst>
            <c:ext xmlns:c16="http://schemas.microsoft.com/office/drawing/2014/chart" uri="{C3380CC4-5D6E-409C-BE32-E72D297353CC}">
              <c16:uniqueId val="{00000005-43AA-4954-B5B0-1D339834DB9A}"/>
            </c:ext>
          </c:extLst>
        </c:ser>
        <c:ser>
          <c:idx val="6"/>
          <c:order val="6"/>
          <c:tx>
            <c:strRef>
              <c:f>'S11_Pilot Scale LCA'!$A$9</c:f>
              <c:strCache>
                <c:ptCount val="1"/>
                <c:pt idx="0">
                  <c:v>Eutrophication, terrestrial</c:v>
                </c:pt>
              </c:strCache>
            </c:strRef>
          </c:tx>
          <c:spPr>
            <a:solidFill>
              <a:schemeClr val="accent6">
                <a:lumMod val="80000"/>
                <a:lumOff val="20000"/>
              </a:schemeClr>
            </a:solidFill>
            <a:ln>
              <a:noFill/>
            </a:ln>
            <a:effectLst/>
          </c:spPr>
          <c:invertIfNegative val="0"/>
          <c:cat>
            <c:strRef>
              <c:f>'S11_Pilot Scale LCA'!$B$2:$D$2</c:f>
              <c:strCache>
                <c:ptCount val="3"/>
                <c:pt idx="0">
                  <c:v>UASB</c:v>
                </c:pt>
                <c:pt idx="1">
                  <c:v>ACW</c:v>
                </c:pt>
                <c:pt idx="2">
                  <c:v>MIPs</c:v>
                </c:pt>
              </c:strCache>
            </c:strRef>
          </c:cat>
          <c:val>
            <c:numRef>
              <c:f>'S11_Pilot Scale LCA'!$B$9:$D$9</c:f>
              <c:numCache>
                <c:formatCode>0.00</c:formatCode>
                <c:ptCount val="3"/>
                <c:pt idx="0">
                  <c:v>5.8998297999999998E-2</c:v>
                </c:pt>
                <c:pt idx="1">
                  <c:v>0.12465718000000001</c:v>
                </c:pt>
                <c:pt idx="2">
                  <c:v>0.29914509</c:v>
                </c:pt>
              </c:numCache>
            </c:numRef>
          </c:val>
          <c:extLst>
            <c:ext xmlns:c16="http://schemas.microsoft.com/office/drawing/2014/chart" uri="{C3380CC4-5D6E-409C-BE32-E72D297353CC}">
              <c16:uniqueId val="{00000006-43AA-4954-B5B0-1D339834DB9A}"/>
            </c:ext>
          </c:extLst>
        </c:ser>
        <c:ser>
          <c:idx val="7"/>
          <c:order val="7"/>
          <c:tx>
            <c:strRef>
              <c:f>'S11_Pilot Scale LCA'!$A$10</c:f>
              <c:strCache>
                <c:ptCount val="1"/>
                <c:pt idx="0">
                  <c:v>Human toxicity, cancer</c:v>
                </c:pt>
              </c:strCache>
            </c:strRef>
          </c:tx>
          <c:spPr>
            <a:solidFill>
              <a:schemeClr val="accent5">
                <a:lumMod val="80000"/>
                <a:lumOff val="20000"/>
              </a:schemeClr>
            </a:solidFill>
            <a:ln>
              <a:noFill/>
            </a:ln>
            <a:effectLst/>
          </c:spPr>
          <c:invertIfNegative val="0"/>
          <c:cat>
            <c:strRef>
              <c:f>'S11_Pilot Scale LCA'!$B$2:$D$2</c:f>
              <c:strCache>
                <c:ptCount val="3"/>
                <c:pt idx="0">
                  <c:v>UASB</c:v>
                </c:pt>
                <c:pt idx="1">
                  <c:v>ACW</c:v>
                </c:pt>
                <c:pt idx="2">
                  <c:v>MIPs</c:v>
                </c:pt>
              </c:strCache>
            </c:strRef>
          </c:cat>
          <c:val>
            <c:numRef>
              <c:f>'S11_Pilot Scale LCA'!$B$10:$D$10</c:f>
              <c:numCache>
                <c:formatCode>0.00</c:formatCode>
                <c:ptCount val="3"/>
                <c:pt idx="0">
                  <c:v>5.4668206999999996E-3</c:v>
                </c:pt>
                <c:pt idx="1">
                  <c:v>1.4399766E-2</c:v>
                </c:pt>
                <c:pt idx="2">
                  <c:v>0.18119473</c:v>
                </c:pt>
              </c:numCache>
            </c:numRef>
          </c:val>
          <c:extLst>
            <c:ext xmlns:c16="http://schemas.microsoft.com/office/drawing/2014/chart" uri="{C3380CC4-5D6E-409C-BE32-E72D297353CC}">
              <c16:uniqueId val="{00000007-43AA-4954-B5B0-1D339834DB9A}"/>
            </c:ext>
          </c:extLst>
        </c:ser>
        <c:ser>
          <c:idx val="8"/>
          <c:order val="8"/>
          <c:tx>
            <c:strRef>
              <c:f>'S11_Pilot Scale LCA'!$A$11</c:f>
              <c:strCache>
                <c:ptCount val="1"/>
                <c:pt idx="0">
                  <c:v>Human toxicity, non-cancer</c:v>
                </c:pt>
              </c:strCache>
            </c:strRef>
          </c:tx>
          <c:spPr>
            <a:solidFill>
              <a:schemeClr val="accent4">
                <a:lumMod val="80000"/>
                <a:lumOff val="20000"/>
              </a:schemeClr>
            </a:solidFill>
            <a:ln>
              <a:noFill/>
            </a:ln>
            <a:effectLst/>
          </c:spPr>
          <c:invertIfNegative val="0"/>
          <c:cat>
            <c:strRef>
              <c:f>'S11_Pilot Scale LCA'!$B$2:$D$2</c:f>
              <c:strCache>
                <c:ptCount val="3"/>
                <c:pt idx="0">
                  <c:v>UASB</c:v>
                </c:pt>
                <c:pt idx="1">
                  <c:v>ACW</c:v>
                </c:pt>
                <c:pt idx="2">
                  <c:v>MIPs</c:v>
                </c:pt>
              </c:strCache>
            </c:strRef>
          </c:cat>
          <c:val>
            <c:numRef>
              <c:f>'S11_Pilot Scale LCA'!$B$11:$D$11</c:f>
              <c:numCache>
                <c:formatCode>0.00</c:formatCode>
                <c:ptCount val="3"/>
                <c:pt idx="0">
                  <c:v>2.7666370999999999E-2</c:v>
                </c:pt>
                <c:pt idx="1">
                  <c:v>6.1756539999999999E-2</c:v>
                </c:pt>
                <c:pt idx="2">
                  <c:v>0.15249447999999999</c:v>
                </c:pt>
              </c:numCache>
            </c:numRef>
          </c:val>
          <c:extLst>
            <c:ext xmlns:c16="http://schemas.microsoft.com/office/drawing/2014/chart" uri="{C3380CC4-5D6E-409C-BE32-E72D297353CC}">
              <c16:uniqueId val="{00000008-43AA-4954-B5B0-1D339834DB9A}"/>
            </c:ext>
          </c:extLst>
        </c:ser>
        <c:ser>
          <c:idx val="9"/>
          <c:order val="9"/>
          <c:tx>
            <c:strRef>
              <c:f>'S11_Pilot Scale LCA'!$A$12</c:f>
              <c:strCache>
                <c:ptCount val="1"/>
                <c:pt idx="0">
                  <c:v>Ionising radiation</c:v>
                </c:pt>
              </c:strCache>
            </c:strRef>
          </c:tx>
          <c:spPr>
            <a:solidFill>
              <a:schemeClr val="accent6">
                <a:lumMod val="80000"/>
              </a:schemeClr>
            </a:solidFill>
            <a:ln>
              <a:noFill/>
            </a:ln>
            <a:effectLst/>
          </c:spPr>
          <c:invertIfNegative val="0"/>
          <c:cat>
            <c:strRef>
              <c:f>'S11_Pilot Scale LCA'!$B$2:$D$2</c:f>
              <c:strCache>
                <c:ptCount val="3"/>
                <c:pt idx="0">
                  <c:v>UASB</c:v>
                </c:pt>
                <c:pt idx="1">
                  <c:v>ACW</c:v>
                </c:pt>
                <c:pt idx="2">
                  <c:v>MIPs</c:v>
                </c:pt>
              </c:strCache>
            </c:strRef>
          </c:cat>
          <c:val>
            <c:numRef>
              <c:f>'S11_Pilot Scale LCA'!$B$12:$D$12</c:f>
              <c:numCache>
                <c:formatCode>0.00</c:formatCode>
                <c:ptCount val="3"/>
                <c:pt idx="0">
                  <c:v>3.6956529000000002E-2</c:v>
                </c:pt>
                <c:pt idx="1">
                  <c:v>0.15857611999999999</c:v>
                </c:pt>
                <c:pt idx="2">
                  <c:v>0.21940191000000001</c:v>
                </c:pt>
              </c:numCache>
            </c:numRef>
          </c:val>
          <c:extLst>
            <c:ext xmlns:c16="http://schemas.microsoft.com/office/drawing/2014/chart" uri="{C3380CC4-5D6E-409C-BE32-E72D297353CC}">
              <c16:uniqueId val="{00000009-43AA-4954-B5B0-1D339834DB9A}"/>
            </c:ext>
          </c:extLst>
        </c:ser>
        <c:ser>
          <c:idx val="10"/>
          <c:order val="10"/>
          <c:tx>
            <c:strRef>
              <c:f>'S11_Pilot Scale LCA'!$A$13</c:f>
              <c:strCache>
                <c:ptCount val="1"/>
                <c:pt idx="0">
                  <c:v>Land use</c:v>
                </c:pt>
              </c:strCache>
            </c:strRef>
          </c:tx>
          <c:spPr>
            <a:solidFill>
              <a:schemeClr val="accent5">
                <a:lumMod val="80000"/>
              </a:schemeClr>
            </a:solidFill>
            <a:ln>
              <a:noFill/>
            </a:ln>
            <a:effectLst/>
          </c:spPr>
          <c:invertIfNegative val="0"/>
          <c:cat>
            <c:strRef>
              <c:f>'S11_Pilot Scale LCA'!$B$2:$D$2</c:f>
              <c:strCache>
                <c:ptCount val="3"/>
                <c:pt idx="0">
                  <c:v>UASB</c:v>
                </c:pt>
                <c:pt idx="1">
                  <c:v>ACW</c:v>
                </c:pt>
                <c:pt idx="2">
                  <c:v>MIPs</c:v>
                </c:pt>
              </c:strCache>
            </c:strRef>
          </c:cat>
          <c:val>
            <c:numRef>
              <c:f>'S11_Pilot Scale LCA'!$B$13:$D$13</c:f>
              <c:numCache>
                <c:formatCode>0.00</c:formatCode>
                <c:ptCount val="3"/>
                <c:pt idx="0">
                  <c:v>7.6054457000000004E-3</c:v>
                </c:pt>
                <c:pt idx="1">
                  <c:v>2.218958E-2</c:v>
                </c:pt>
                <c:pt idx="2">
                  <c:v>4.4201162000000002E-2</c:v>
                </c:pt>
              </c:numCache>
            </c:numRef>
          </c:val>
          <c:extLst>
            <c:ext xmlns:c16="http://schemas.microsoft.com/office/drawing/2014/chart" uri="{C3380CC4-5D6E-409C-BE32-E72D297353CC}">
              <c16:uniqueId val="{0000000A-43AA-4954-B5B0-1D339834DB9A}"/>
            </c:ext>
          </c:extLst>
        </c:ser>
        <c:ser>
          <c:idx val="11"/>
          <c:order val="11"/>
          <c:tx>
            <c:strRef>
              <c:f>'S11_Pilot Scale LCA'!$A$14</c:f>
              <c:strCache>
                <c:ptCount val="1"/>
                <c:pt idx="0">
                  <c:v>Ozone depletion</c:v>
                </c:pt>
              </c:strCache>
            </c:strRef>
          </c:tx>
          <c:spPr>
            <a:solidFill>
              <a:schemeClr val="accent4">
                <a:lumMod val="80000"/>
              </a:schemeClr>
            </a:solidFill>
            <a:ln>
              <a:noFill/>
            </a:ln>
            <a:effectLst/>
          </c:spPr>
          <c:invertIfNegative val="0"/>
          <c:cat>
            <c:strRef>
              <c:f>'S11_Pilot Scale LCA'!$B$2:$D$2</c:f>
              <c:strCache>
                <c:ptCount val="3"/>
                <c:pt idx="0">
                  <c:v>UASB</c:v>
                </c:pt>
                <c:pt idx="1">
                  <c:v>ACW</c:v>
                </c:pt>
                <c:pt idx="2">
                  <c:v>MIPs</c:v>
                </c:pt>
              </c:strCache>
            </c:strRef>
          </c:cat>
          <c:val>
            <c:numRef>
              <c:f>'S11_Pilot Scale LCA'!$B$14:$D$14</c:f>
              <c:numCache>
                <c:formatCode>0.00</c:formatCode>
                <c:ptCount val="3"/>
                <c:pt idx="0">
                  <c:v>6.4648668000000004E-4</c:v>
                </c:pt>
                <c:pt idx="1">
                  <c:v>2.8143183000000002E-3</c:v>
                </c:pt>
                <c:pt idx="2">
                  <c:v>7.6560437999999998E-3</c:v>
                </c:pt>
              </c:numCache>
            </c:numRef>
          </c:val>
          <c:extLst>
            <c:ext xmlns:c16="http://schemas.microsoft.com/office/drawing/2014/chart" uri="{C3380CC4-5D6E-409C-BE32-E72D297353CC}">
              <c16:uniqueId val="{0000000B-43AA-4954-B5B0-1D339834DB9A}"/>
            </c:ext>
          </c:extLst>
        </c:ser>
        <c:ser>
          <c:idx val="12"/>
          <c:order val="12"/>
          <c:tx>
            <c:strRef>
              <c:f>'S11_Pilot Scale LCA'!$A$15</c:f>
              <c:strCache>
                <c:ptCount val="1"/>
                <c:pt idx="0">
                  <c:v>Photochemical ozone formation</c:v>
                </c:pt>
              </c:strCache>
            </c:strRef>
          </c:tx>
          <c:spPr>
            <a:solidFill>
              <a:schemeClr val="accent6">
                <a:lumMod val="60000"/>
                <a:lumOff val="40000"/>
              </a:schemeClr>
            </a:solidFill>
            <a:ln>
              <a:noFill/>
            </a:ln>
            <a:effectLst/>
          </c:spPr>
          <c:invertIfNegative val="0"/>
          <c:cat>
            <c:strRef>
              <c:f>'S11_Pilot Scale LCA'!$B$2:$D$2</c:f>
              <c:strCache>
                <c:ptCount val="3"/>
                <c:pt idx="0">
                  <c:v>UASB</c:v>
                </c:pt>
                <c:pt idx="1">
                  <c:v>ACW</c:v>
                </c:pt>
                <c:pt idx="2">
                  <c:v>MIPs</c:v>
                </c:pt>
              </c:strCache>
            </c:strRef>
          </c:cat>
          <c:val>
            <c:numRef>
              <c:f>'S11_Pilot Scale LCA'!$B$15:$D$15</c:f>
              <c:numCache>
                <c:formatCode>0.00</c:formatCode>
                <c:ptCount val="3"/>
                <c:pt idx="0">
                  <c:v>0.11532212999999999</c:v>
                </c:pt>
                <c:pt idx="1">
                  <c:v>0.29886119</c:v>
                </c:pt>
                <c:pt idx="2">
                  <c:v>0.75226400000000004</c:v>
                </c:pt>
              </c:numCache>
            </c:numRef>
          </c:val>
          <c:extLst>
            <c:ext xmlns:c16="http://schemas.microsoft.com/office/drawing/2014/chart" uri="{C3380CC4-5D6E-409C-BE32-E72D297353CC}">
              <c16:uniqueId val="{0000000C-43AA-4954-B5B0-1D339834DB9A}"/>
            </c:ext>
          </c:extLst>
        </c:ser>
        <c:ser>
          <c:idx val="13"/>
          <c:order val="13"/>
          <c:tx>
            <c:strRef>
              <c:f>'S11_Pilot Scale LCA'!$A$16</c:f>
              <c:strCache>
                <c:ptCount val="1"/>
                <c:pt idx="0">
                  <c:v>Resource use, fossils</c:v>
                </c:pt>
              </c:strCache>
            </c:strRef>
          </c:tx>
          <c:spPr>
            <a:solidFill>
              <a:schemeClr val="accent5">
                <a:lumMod val="60000"/>
                <a:lumOff val="40000"/>
              </a:schemeClr>
            </a:solidFill>
            <a:ln>
              <a:noFill/>
            </a:ln>
            <a:effectLst/>
          </c:spPr>
          <c:invertIfNegative val="0"/>
          <c:cat>
            <c:strRef>
              <c:f>'S11_Pilot Scale LCA'!$B$2:$D$2</c:f>
              <c:strCache>
                <c:ptCount val="3"/>
                <c:pt idx="0">
                  <c:v>UASB</c:v>
                </c:pt>
                <c:pt idx="1">
                  <c:v>ACW</c:v>
                </c:pt>
                <c:pt idx="2">
                  <c:v>MIPs</c:v>
                </c:pt>
              </c:strCache>
            </c:strRef>
          </c:cat>
          <c:val>
            <c:numRef>
              <c:f>'S11_Pilot Scale LCA'!$B$16:$D$16</c:f>
              <c:numCache>
                <c:formatCode>0.00</c:formatCode>
                <c:ptCount val="3"/>
                <c:pt idx="0">
                  <c:v>0.62386856000000002</c:v>
                </c:pt>
                <c:pt idx="1">
                  <c:v>2.0072602000000002</c:v>
                </c:pt>
                <c:pt idx="2">
                  <c:v>4.8090792999999996</c:v>
                </c:pt>
              </c:numCache>
            </c:numRef>
          </c:val>
          <c:extLst>
            <c:ext xmlns:c16="http://schemas.microsoft.com/office/drawing/2014/chart" uri="{C3380CC4-5D6E-409C-BE32-E72D297353CC}">
              <c16:uniqueId val="{0000000D-43AA-4954-B5B0-1D339834DB9A}"/>
            </c:ext>
          </c:extLst>
        </c:ser>
        <c:ser>
          <c:idx val="14"/>
          <c:order val="14"/>
          <c:tx>
            <c:strRef>
              <c:f>'S11_Pilot Scale LCA'!$A$17</c:f>
              <c:strCache>
                <c:ptCount val="1"/>
                <c:pt idx="0">
                  <c:v>Resource use, minerals and metals</c:v>
                </c:pt>
              </c:strCache>
            </c:strRef>
          </c:tx>
          <c:spPr>
            <a:solidFill>
              <a:schemeClr val="accent4">
                <a:lumMod val="60000"/>
                <a:lumOff val="40000"/>
              </a:schemeClr>
            </a:solidFill>
            <a:ln>
              <a:noFill/>
            </a:ln>
            <a:effectLst/>
          </c:spPr>
          <c:invertIfNegative val="0"/>
          <c:cat>
            <c:strRef>
              <c:f>'S11_Pilot Scale LCA'!$B$2:$D$2</c:f>
              <c:strCache>
                <c:ptCount val="3"/>
                <c:pt idx="0">
                  <c:v>UASB</c:v>
                </c:pt>
                <c:pt idx="1">
                  <c:v>ACW</c:v>
                </c:pt>
                <c:pt idx="2">
                  <c:v>MIPs</c:v>
                </c:pt>
              </c:strCache>
            </c:strRef>
          </c:cat>
          <c:val>
            <c:numRef>
              <c:f>'S11_Pilot Scale LCA'!$B$17:$D$17</c:f>
              <c:numCache>
                <c:formatCode>0.00</c:formatCode>
                <c:ptCount val="3"/>
                <c:pt idx="0">
                  <c:v>9.6463493999999997E-2</c:v>
                </c:pt>
                <c:pt idx="1">
                  <c:v>0.22446675999999999</c:v>
                </c:pt>
                <c:pt idx="2">
                  <c:v>0.60016066000000001</c:v>
                </c:pt>
              </c:numCache>
            </c:numRef>
          </c:val>
          <c:extLst>
            <c:ext xmlns:c16="http://schemas.microsoft.com/office/drawing/2014/chart" uri="{C3380CC4-5D6E-409C-BE32-E72D297353CC}">
              <c16:uniqueId val="{0000000E-43AA-4954-B5B0-1D339834DB9A}"/>
            </c:ext>
          </c:extLst>
        </c:ser>
        <c:ser>
          <c:idx val="15"/>
          <c:order val="15"/>
          <c:tx>
            <c:strRef>
              <c:f>'S11_Pilot Scale LCA'!$A$18</c:f>
              <c:strCache>
                <c:ptCount val="1"/>
                <c:pt idx="0">
                  <c:v>Water use</c:v>
                </c:pt>
              </c:strCache>
            </c:strRef>
          </c:tx>
          <c:spPr>
            <a:solidFill>
              <a:schemeClr val="accent6">
                <a:lumMod val="50000"/>
              </a:schemeClr>
            </a:solidFill>
            <a:ln>
              <a:noFill/>
            </a:ln>
            <a:effectLst/>
          </c:spPr>
          <c:invertIfNegative val="0"/>
          <c:cat>
            <c:strRef>
              <c:f>'S11_Pilot Scale LCA'!$B$2:$D$2</c:f>
              <c:strCache>
                <c:ptCount val="3"/>
                <c:pt idx="0">
                  <c:v>UASB</c:v>
                </c:pt>
                <c:pt idx="1">
                  <c:v>ACW</c:v>
                </c:pt>
                <c:pt idx="2">
                  <c:v>MIPs</c:v>
                </c:pt>
              </c:strCache>
            </c:strRef>
          </c:cat>
          <c:val>
            <c:numRef>
              <c:f>'S11_Pilot Scale LCA'!$B$18:$D$18</c:f>
              <c:numCache>
                <c:formatCode>0.00</c:formatCode>
                <c:ptCount val="3"/>
                <c:pt idx="0">
                  <c:v>7.1023663000000001E-2</c:v>
                </c:pt>
                <c:pt idx="1">
                  <c:v>0.34218846000000003</c:v>
                </c:pt>
                <c:pt idx="2">
                  <c:v>0.54941116999999995</c:v>
                </c:pt>
              </c:numCache>
            </c:numRef>
          </c:val>
          <c:extLst>
            <c:ext xmlns:c16="http://schemas.microsoft.com/office/drawing/2014/chart" uri="{C3380CC4-5D6E-409C-BE32-E72D297353CC}">
              <c16:uniqueId val="{0000000F-43AA-4954-B5B0-1D339834DB9A}"/>
            </c:ext>
          </c:extLst>
        </c:ser>
        <c:dLbls>
          <c:showLegendKey val="0"/>
          <c:showVal val="0"/>
          <c:showCatName val="0"/>
          <c:showSerName val="0"/>
          <c:showPercent val="0"/>
          <c:showBubbleSize val="0"/>
        </c:dLbls>
        <c:gapWidth val="20"/>
        <c:overlap val="100"/>
        <c:axId val="1531750831"/>
        <c:axId val="1531751791"/>
      </c:barChart>
      <c:catAx>
        <c:axId val="1531750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531751791"/>
        <c:crosses val="autoZero"/>
        <c:auto val="1"/>
        <c:lblAlgn val="ctr"/>
        <c:lblOffset val="100"/>
        <c:noMultiLvlLbl val="0"/>
      </c:catAx>
      <c:valAx>
        <c:axId val="1531751791"/>
        <c:scaling>
          <c:orientation val="minMax"/>
        </c:scaling>
        <c:delete val="0"/>
        <c:axPos val="l"/>
        <c:majorGridlines>
          <c:spPr>
            <a:ln w="9525" cap="flat" cmpd="sng" algn="ctr">
              <a:solidFill>
                <a:schemeClr val="tx1">
                  <a:lumMod val="15000"/>
                  <a:lumOff val="85000"/>
                </a:schemeClr>
              </a:solidFill>
              <a:prstDash val="lgDash"/>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531750831"/>
        <c:crosses val="autoZero"/>
        <c:crossBetween val="between"/>
      </c:valAx>
      <c:spPr>
        <a:noFill/>
        <a:ln>
          <a:noFill/>
        </a:ln>
        <a:effectLst/>
      </c:spPr>
    </c:plotArea>
    <c:legend>
      <c:legendPos val="b"/>
      <c:layout>
        <c:manualLayout>
          <c:xMode val="edge"/>
          <c:yMode val="edge"/>
          <c:x val="0.65487434689822654"/>
          <c:y val="0.1852077535534189"/>
          <c:w val="0.33082747688081043"/>
          <c:h val="0.695526627010819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cs typeface="Times New Roman" panose="02020603050405020304" pitchFamily="18"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'[1]Reuse_FinLCC_UASB-RBF'!$B$3</c:f>
          <c:strCache>
            <c:ptCount val="1"/>
            <c:pt idx="0">
              <c:v>Price cost for treatment - Operation of 30 years (290 000 m³/year)</c:v>
            </c:pt>
          </c:strCache>
        </c:strRef>
      </c:tx>
      <c:layout>
        <c:manualLayout>
          <c:xMode val="edge"/>
          <c:yMode val="edge"/>
          <c:x val="8.6781107113115347E-2"/>
          <c:y val="1.7342273639296926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chemeClr val="tx1"/>
              </a:solidFill>
              <a:latin typeface="Poppins" panose="00000500000000000000" pitchFamily="2" charset="0"/>
              <a:ea typeface="+mn-ea"/>
              <a:cs typeface="Poppins" panose="00000500000000000000" pitchFamily="2" charset="0"/>
            </a:defRPr>
          </a:pPr>
          <a:endParaRPr lang="fr-FR"/>
        </a:p>
      </c:txPr>
    </c:title>
    <c:autoTitleDeleted val="0"/>
    <c:plotArea>
      <c:layout>
        <c:manualLayout>
          <c:layoutTarget val="inner"/>
          <c:xMode val="edge"/>
          <c:yMode val="edge"/>
          <c:x val="0.11416291714022278"/>
          <c:y val="0.21517135459824016"/>
          <c:w val="0.86167058485692971"/>
          <c:h val="0.58796346640969221"/>
        </c:manualLayout>
      </c:layout>
      <c:barChart>
        <c:barDir val="col"/>
        <c:grouping val="percentStacked"/>
        <c:varyColors val="0"/>
        <c:ser>
          <c:idx val="0"/>
          <c:order val="0"/>
          <c:tx>
            <c:strRef>
              <c:f>'[1]Reuse_FinLCC_UASB-RBF'!$E$6</c:f>
              <c:strCache>
                <c:ptCount val="1"/>
                <c:pt idx="0">
                  <c:v>UASB</c:v>
                </c:pt>
              </c:strCache>
            </c:strRef>
          </c:tx>
          <c:spPr>
            <a:solidFill>
              <a:srgbClr val="94358A"/>
            </a:solidFill>
            <a:ln>
              <a:noFill/>
            </a:ln>
            <a:effectLst/>
          </c:spPr>
          <c:invertIfNegative val="0"/>
          <c:dLbls>
            <c:dLbl>
              <c:idx val="0"/>
              <c:tx>
                <c:rich>
                  <a:bodyPr/>
                  <a:lstStyle/>
                  <a:p>
                    <a:fld id="{60989967-B167-4BF7-B9FC-6474E6CE3AD7}" type="CELLRANGE">
                      <a:rPr lang="en-US"/>
                      <a:pPr/>
                      <a:t>[]</a:t>
                    </a:fld>
                    <a:endParaRPr lang="en-US" baseline="0"/>
                  </a:p>
                  <a:p>
                    <a:fld id="{59C3F29B-87DD-4AE5-9E26-4AD9873D67BB}" type="VALUE">
                      <a:rPr lang="en-US"/>
                      <a:pPr/>
                      <a:t>[]</a:t>
                    </a:fld>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7D8-4ED4-8B46-9395CEF1002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'[1]Reuse_FinLCC_UASB-RBF'!$B$7</c:f>
              <c:strCache>
                <c:ptCount val="1"/>
                <c:pt idx="0">
                  <c:v>Without any subsidises</c:v>
                </c:pt>
              </c:strCache>
            </c:strRef>
          </c:cat>
          <c:val>
            <c:numRef>
              <c:f>'[1]Reuse_FinLCC_UASB-RBF'!$E$7</c:f>
              <c:numCache>
                <c:formatCode>0.00</c:formatCode>
                <c:ptCount val="1"/>
                <c:pt idx="0">
                  <c:v>0.12619929129569962</c:v>
                </c:pt>
              </c:numCache>
            </c:numRef>
          </c:val>
          <c:extLst>
            <c:ext xmlns:c15="http://schemas.microsoft.com/office/drawing/2012/chart" uri="{02D57815-91ED-43cb-92C2-25804820EDAC}">
              <c15:datalabelsRange>
                <c15:f>'[1]Reuse_FinLCC_UASB-RBF'!$E$9</c15:f>
                <c15:dlblRangeCache>
                  <c:ptCount val="1"/>
                  <c:pt idx="0">
                    <c:v>0.20511008209878</c:v>
                  </c:pt>
                </c15:dlblRangeCache>
              </c15:datalabelsRange>
            </c:ext>
            <c:ext xmlns:c16="http://schemas.microsoft.com/office/drawing/2014/chart" uri="{C3380CC4-5D6E-409C-BE32-E72D297353CC}">
              <c16:uniqueId val="{00000001-27D8-4ED4-8B46-9395CEF1002F}"/>
            </c:ext>
          </c:extLst>
        </c:ser>
        <c:ser>
          <c:idx val="1"/>
          <c:order val="1"/>
          <c:tx>
            <c:strRef>
              <c:f>'[1]Reuse_FinLCC_UASB-RBF'!$F$6</c:f>
              <c:strCache>
                <c:ptCount val="1"/>
                <c:pt idx="0">
                  <c:v>RBF</c:v>
                </c:pt>
              </c:strCache>
            </c:strRef>
          </c:tx>
          <c:spPr>
            <a:solidFill>
              <a:srgbClr val="FAB900"/>
            </a:solidFill>
            <a:ln>
              <a:noFill/>
            </a:ln>
            <a:effectLst/>
          </c:spPr>
          <c:invertIfNegative val="0"/>
          <c:dLbls>
            <c:dLbl>
              <c:idx val="0"/>
              <c:layout>
                <c:manualLayout>
                  <c:x val="-2.0138515693854376E-17"/>
                  <c:y val="-7.0086501643309004E-3"/>
                </c:manualLayout>
              </c:layout>
              <c:tx>
                <c:rich>
                  <a:bodyPr/>
                  <a:lstStyle/>
                  <a:p>
                    <a:fld id="{7D6A2394-CF6F-40D0-B768-28452605BFD6}" type="CELLRANGE">
                      <a:rPr lang="en-US" b="1" baseline="0">
                        <a:solidFill>
                          <a:schemeClr val="bg1"/>
                        </a:solidFill>
                      </a:rPr>
                      <a:pPr/>
                      <a:t>[]</a:t>
                    </a:fld>
                    <a:endParaRPr lang="en-US" b="1" baseline="0">
                      <a:solidFill>
                        <a:schemeClr val="bg1"/>
                      </a:solidFill>
                    </a:endParaRPr>
                  </a:p>
                  <a:p>
                    <a:fld id="{D1A5A6BA-A7D1-4D77-8F5A-DE939908C9F8}" type="VALUE">
                      <a:rPr lang="en-US" b="1" baseline="0">
                        <a:solidFill>
                          <a:schemeClr val="bg1"/>
                        </a:solidFill>
                      </a:rPr>
                      <a:pPr/>
                      <a:t>[]</a:t>
                    </a:fld>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7D8-4ED4-8B46-9395CEF1002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'[1]Reuse_FinLCC_UASB-RBF'!$B$7</c:f>
              <c:strCache>
                <c:ptCount val="1"/>
                <c:pt idx="0">
                  <c:v>Without any subsidises</c:v>
                </c:pt>
              </c:strCache>
            </c:strRef>
          </c:cat>
          <c:val>
            <c:numRef>
              <c:f>'[1]Reuse_FinLCC_UASB-RBF'!$F$7</c:f>
              <c:numCache>
                <c:formatCode>0.00</c:formatCode>
                <c:ptCount val="1"/>
                <c:pt idx="0">
                  <c:v>0.489076613254535</c:v>
                </c:pt>
              </c:numCache>
            </c:numRef>
          </c:val>
          <c:extLst>
            <c:ext xmlns:c15="http://schemas.microsoft.com/office/drawing/2012/chart" uri="{02D57815-91ED-43cb-92C2-25804820EDAC}">
              <c15:datalabelsRange>
                <c15:f>'[1]Reuse_FinLCC_UASB-RBF'!$F$9</c15:f>
                <c15:dlblRangeCache>
                  <c:ptCount val="1"/>
                  <c:pt idx="0">
                    <c:v>0.79488991790122</c:v>
                  </c:pt>
                </c15:dlblRangeCache>
              </c15:datalabelsRange>
            </c:ext>
            <c:ext xmlns:c16="http://schemas.microsoft.com/office/drawing/2014/chart" uri="{C3380CC4-5D6E-409C-BE32-E72D297353CC}">
              <c16:uniqueId val="{00000003-27D8-4ED4-8B46-9395CEF1002F}"/>
            </c:ext>
          </c:extLst>
        </c:ser>
        <c:ser>
          <c:idx val="2"/>
          <c:order val="2"/>
          <c:tx>
            <c:strRef>
              <c:f>'[1]Reuse_FinLCC_UASB-RBF'!$G$6</c:f>
              <c:strCache>
                <c:ptCount val="1"/>
                <c:pt idx="0">
                  <c:v>#RIF!</c:v>
                </c:pt>
              </c:strCache>
            </c:strRef>
          </c:tx>
          <c:spPr>
            <a:solidFill>
              <a:srgbClr val="05BAEE"/>
            </a:solidFill>
            <a:ln>
              <a:noFill/>
            </a:ln>
            <a:effectLst/>
          </c:spPr>
          <c:invertIfNegative val="0"/>
          <c:dLbls>
            <c:dLbl>
              <c:idx val="0"/>
              <c:tx>
                <c:rich>
                  <a:bodyPr/>
                  <a:lstStyle/>
                  <a:p>
                    <a:endParaRPr lang="en-US"/>
                  </a:p>
                </c:rich>
              </c:tx>
              <c:dLblPos val="ctr"/>
              <c:showLegendKey val="0"/>
              <c:showVal val="1"/>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4-27D8-4ED4-8B46-9395CEF1002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'[1]Reuse_FinLCC_UASB-RBF'!$B$7</c:f>
              <c:strCache>
                <c:ptCount val="1"/>
                <c:pt idx="0">
                  <c:v>Without any subsidises</c:v>
                </c:pt>
              </c:strCache>
            </c:strRef>
          </c:cat>
          <c:val>
            <c:numRef>
              <c:f>'[1]Reuse_FinLCC_UASB-RBF'!$G$7</c:f>
              <c:numCache>
                <c:formatCode>0.00</c:formatCode>
                <c:ptCount val="1"/>
              </c:numCache>
            </c:numRef>
          </c:val>
          <c:extLst>
            <c:ext xmlns:c15="http://schemas.microsoft.com/office/drawing/2012/chart" uri="{02D57815-91ED-43cb-92C2-25804820EDAC}">
              <c15:datalabelsRange>
                <c15:f>'[1]Reuse_FinLCC_UASB-RBF'!$G$9</c15:f>
                <c15:dlblRangeCache>
                  <c:ptCount val="1"/>
                  <c:pt idx="0">
                    <c:v>#RIF!</c:v>
                  </c:pt>
                </c15:dlblRangeCache>
              </c15:datalabelsRange>
            </c:ext>
            <c:ext xmlns:c16="http://schemas.microsoft.com/office/drawing/2014/chart" uri="{C3380CC4-5D6E-409C-BE32-E72D297353CC}">
              <c16:uniqueId val="{00000005-27D8-4ED4-8B46-9395CEF1002F}"/>
            </c:ext>
          </c:extLst>
        </c:ser>
        <c:ser>
          <c:idx val="3"/>
          <c:order val="3"/>
          <c:tx>
            <c:strRef>
              <c:f>'[1]Reuse_FinLCC_UASB-RBF'!$H$6</c:f>
              <c:strCache>
                <c:ptCount val="1"/>
                <c:pt idx="0">
                  <c:v>#RIF!</c:v>
                </c:pt>
              </c:strCache>
            </c:strRef>
          </c:tx>
          <c:spPr>
            <a:solidFill>
              <a:srgbClr val="2F3C4D"/>
            </a:solidFill>
            <a:ln>
              <a:noFill/>
            </a:ln>
            <a:effectLst/>
          </c:spPr>
          <c:invertIfNegative val="0"/>
          <c:dLbls>
            <c:dLbl>
              <c:idx val="0"/>
              <c:tx>
                <c:rich>
                  <a:bodyPr/>
                  <a:lstStyle/>
                  <a:p>
                    <a:endParaRPr lang="en-US"/>
                  </a:p>
                </c:rich>
              </c:tx>
              <c:dLblPos val="ctr"/>
              <c:showLegendKey val="0"/>
              <c:showVal val="1"/>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6-27D8-4ED4-8B46-9395CEF1002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'[1]Reuse_FinLCC_UASB-RBF'!$B$7</c:f>
              <c:strCache>
                <c:ptCount val="1"/>
                <c:pt idx="0">
                  <c:v>Without any subsidises</c:v>
                </c:pt>
              </c:strCache>
            </c:strRef>
          </c:cat>
          <c:val>
            <c:numRef>
              <c:f>'[1]Reuse_FinLCC_UASB-RBF'!$H$7</c:f>
              <c:numCache>
                <c:formatCode>0.00</c:formatCode>
                <c:ptCount val="1"/>
              </c:numCache>
            </c:numRef>
          </c:val>
          <c:extLst>
            <c:ext xmlns:c15="http://schemas.microsoft.com/office/drawing/2012/chart" uri="{02D57815-91ED-43cb-92C2-25804820EDAC}">
              <c15:datalabelsRange>
                <c15:f>'[1]Reuse_FinLCC_UASB-RBF'!$H$9</c15:f>
                <c15:dlblRangeCache>
                  <c:ptCount val="1"/>
                  <c:pt idx="0">
                    <c:v>#RIF!</c:v>
                  </c:pt>
                </c15:dlblRangeCache>
              </c15:datalabelsRange>
            </c:ext>
            <c:ext xmlns:c16="http://schemas.microsoft.com/office/drawing/2014/chart" uri="{C3380CC4-5D6E-409C-BE32-E72D297353CC}">
              <c16:uniqueId val="{00000007-27D8-4ED4-8B46-9395CEF1002F}"/>
            </c:ext>
          </c:extLst>
        </c:ser>
        <c:ser>
          <c:idx val="4"/>
          <c:order val="4"/>
          <c:tx>
            <c:strRef>
              <c:f>'[1]Reuse_FinLCC_UASB-RBF'!$I$6</c:f>
              <c:strCache>
                <c:ptCount val="1"/>
                <c:pt idx="0">
                  <c:v>#RIF!</c:v>
                </c:pt>
              </c:strCache>
            </c:strRef>
          </c:tx>
          <c:spPr>
            <a:solidFill>
              <a:srgbClr val="00AA95"/>
            </a:solidFill>
            <a:ln>
              <a:noFill/>
            </a:ln>
            <a:effectLst/>
          </c:spPr>
          <c:invertIfNegative val="0"/>
          <c:dLbls>
            <c:dLbl>
              <c:idx val="0"/>
              <c:tx>
                <c:rich>
                  <a:bodyPr/>
                  <a:lstStyle/>
                  <a:p>
                    <a:endParaRPr lang="en-US"/>
                  </a:p>
                </c:rich>
              </c:tx>
              <c:dLblPos val="ctr"/>
              <c:showLegendKey val="0"/>
              <c:showVal val="1"/>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8-27D8-4ED4-8B46-9395CEF1002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'[1]Reuse_FinLCC_UASB-RBF'!$B$7</c:f>
              <c:strCache>
                <c:ptCount val="1"/>
                <c:pt idx="0">
                  <c:v>Without any subsidises</c:v>
                </c:pt>
              </c:strCache>
            </c:strRef>
          </c:cat>
          <c:val>
            <c:numRef>
              <c:f>'[1]Reuse_FinLCC_UASB-RBF'!$I$7</c:f>
              <c:numCache>
                <c:formatCode>0.00</c:formatCode>
                <c:ptCount val="1"/>
              </c:numCache>
            </c:numRef>
          </c:val>
          <c:extLst>
            <c:ext xmlns:c15="http://schemas.microsoft.com/office/drawing/2012/chart" uri="{02D57815-91ED-43cb-92C2-25804820EDAC}">
              <c15:datalabelsRange>
                <c15:f>'[1]Reuse_FinLCC_UASB-RBF'!$I$9</c15:f>
                <c15:dlblRangeCache>
                  <c:ptCount val="1"/>
                  <c:pt idx="0">
                    <c:v>#RIF!</c:v>
                  </c:pt>
                </c15:dlblRangeCache>
              </c15:datalabelsRange>
            </c:ext>
            <c:ext xmlns:c16="http://schemas.microsoft.com/office/drawing/2014/chart" uri="{C3380CC4-5D6E-409C-BE32-E72D297353CC}">
              <c16:uniqueId val="{00000009-27D8-4ED4-8B46-9395CEF1002F}"/>
            </c:ext>
          </c:extLst>
        </c:ser>
        <c:dLbls>
          <c:dLblPos val="ctr"/>
          <c:showLegendKey val="0"/>
          <c:showVal val="1"/>
          <c:showCatName val="0"/>
          <c:showSerName val="0"/>
          <c:showPercent val="0"/>
          <c:showBubbleSize val="0"/>
        </c:dLbls>
        <c:gapWidth val="10"/>
        <c:overlap val="100"/>
        <c:axId val="1716020671"/>
        <c:axId val="1716021919"/>
      </c:barChart>
      <c:catAx>
        <c:axId val="1716020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716021919"/>
        <c:crosses val="autoZero"/>
        <c:auto val="1"/>
        <c:lblAlgn val="ctr"/>
        <c:lblOffset val="100"/>
        <c:noMultiLvlLbl val="0"/>
      </c:catAx>
      <c:valAx>
        <c:axId val="1716021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a:latin typeface="Poppins" panose="00000500000000000000" pitchFamily="2" charset="0"/>
                    <a:cs typeface="Poppins" panose="00000500000000000000" pitchFamily="2" charset="0"/>
                  </a:rPr>
                  <a:t>Price  cost distribution per facility</a:t>
                </a:r>
              </a:p>
            </c:rich>
          </c:tx>
          <c:layout>
            <c:manualLayout>
              <c:xMode val="edge"/>
              <c:yMode val="edge"/>
              <c:x val="2.7552873590755709E-3"/>
              <c:y val="0.211581927016431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716020671"/>
        <c:crosses val="autoZero"/>
        <c:crossBetween val="between"/>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9.2353214905383924E-2"/>
          <c:y val="0.91199768313338669"/>
          <c:w val="0.90097461739261286"/>
          <c:h val="6.68455510017815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2F3C4D"/>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Poppins" panose="00000500000000000000" pitchFamily="2" charset="0"/>
                <a:ea typeface="+mn-ea"/>
                <a:cs typeface="Poppins" panose="00000500000000000000" pitchFamily="2" charset="0"/>
              </a:defRPr>
            </a:pPr>
            <a:r>
              <a:rPr lang="fr-FR" sz="1600" b="1">
                <a:solidFill>
                  <a:schemeClr val="tx1"/>
                </a:solidFill>
                <a:latin typeface="Poppins" panose="00000500000000000000" pitchFamily="2" charset="0"/>
                <a:cs typeface="Poppins" panose="00000500000000000000" pitchFamily="2" charset="0"/>
              </a:rPr>
              <a:t>Price cost</a:t>
            </a:r>
            <a:r>
              <a:rPr lang="fr-FR" sz="1600" b="1" baseline="0">
                <a:solidFill>
                  <a:schemeClr val="tx1"/>
                </a:solidFill>
                <a:latin typeface="Poppins" panose="00000500000000000000" pitchFamily="2" charset="0"/>
                <a:cs typeface="Poppins" panose="00000500000000000000" pitchFamily="2" charset="0"/>
              </a:rPr>
              <a:t> (no subsidises) of reused water (from entrance of WWTP to irrigation dripper)</a:t>
            </a:r>
            <a:endParaRPr lang="fr-FR" sz="1600" b="1">
              <a:solidFill>
                <a:schemeClr val="tx1"/>
              </a:solidFill>
              <a:latin typeface="Poppins" panose="00000500000000000000" pitchFamily="2" charset="0"/>
              <a:cs typeface="Poppins" panose="00000500000000000000" pitchFamily="2" charset="0"/>
            </a:endParaRPr>
          </a:p>
        </c:rich>
      </c:tx>
      <c:layout>
        <c:manualLayout>
          <c:xMode val="edge"/>
          <c:yMode val="edge"/>
          <c:x val="1.866787194092456E-2"/>
          <c:y val="0"/>
        </c:manualLayout>
      </c:layout>
      <c:overlay val="0"/>
      <c:spPr>
        <a:noFill/>
        <a:ln>
          <a:noFill/>
        </a:ln>
        <a:effectLst/>
      </c:spPr>
    </c:title>
    <c:autoTitleDeleted val="0"/>
    <c:plotArea>
      <c:layout>
        <c:manualLayout>
          <c:layoutTarget val="inner"/>
          <c:xMode val="edge"/>
          <c:yMode val="edge"/>
          <c:x val="3.6957205153919814E-2"/>
          <c:y val="0.14600853138330286"/>
          <c:w val="0.94852145335661475"/>
          <c:h val="0.8253503960999391"/>
        </c:manualLayout>
      </c:layout>
      <c:scatterChart>
        <c:scatterStyle val="smoothMarker"/>
        <c:varyColors val="0"/>
        <c:ser>
          <c:idx val="1"/>
          <c:order val="0"/>
          <c:tx>
            <c:strRef>
              <c:f>'[1]Reuse_FinLCC_UASB-RBF'!$B$39</c:f>
              <c:strCache>
                <c:ptCount val="1"/>
                <c:pt idx="0">
                  <c:v>COUT DE REVIENT SANS SUBVENTION</c:v>
                </c:pt>
              </c:strCache>
            </c:strRef>
          </c:tx>
          <c:spPr>
            <a:ln w="38100">
              <a:solidFill>
                <a:srgbClr val="94358A"/>
              </a:solidFill>
            </a:ln>
          </c:spPr>
          <c:marker>
            <c:symbol val="none"/>
          </c:marker>
          <c:xVal>
            <c:strRef>
              <c:f>'[1]Reuse_FinLCC_UASB-RBF'!$B$44:$B$73</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xVal>
          <c:yVal>
            <c:numRef>
              <c:f>'[1]Reuse_FinLCC_UASB-RBF'!$S$44:$S$73</c:f>
              <c:numCache>
                <c:formatCode>_-* #\ ##0.00\ _€_-;\-* #\ ##0.00\ _€_-;_-* "-"??\ _€_-;_-@_-</c:formatCode>
                <c:ptCount val="30"/>
                <c:pt idx="0">
                  <c:v>0.80972056478276044</c:v>
                </c:pt>
                <c:pt idx="1">
                  <c:v>0.81020466879186392</c:v>
                </c:pt>
                <c:pt idx="2">
                  <c:v>0.81070039129718574</c:v>
                </c:pt>
                <c:pt idx="3">
                  <c:v>0.81120804599812402</c:v>
                </c:pt>
                <c:pt idx="4">
                  <c:v>0.81172795562861932</c:v>
                </c:pt>
                <c:pt idx="5">
                  <c:v>0.8122604522281911</c:v>
                </c:pt>
                <c:pt idx="6">
                  <c:v>0.81280587742133736</c:v>
                </c:pt>
                <c:pt idx="7">
                  <c:v>0.81336458270556156</c:v>
                </c:pt>
                <c:pt idx="8">
                  <c:v>0.81393692974829712</c:v>
                </c:pt>
                <c:pt idx="9">
                  <c:v>0.8145232906930131</c:v>
                </c:pt>
                <c:pt idx="10">
                  <c:v>0.81512404847478637</c:v>
                </c:pt>
                <c:pt idx="11">
                  <c:v>0.81573959714564404</c:v>
                </c:pt>
                <c:pt idx="12">
                  <c:v>0.81637034220997984</c:v>
                </c:pt>
                <c:pt idx="13">
                  <c:v>0.81701670097036616</c:v>
                </c:pt>
                <c:pt idx="14">
                  <c:v>0.81767910288408907</c:v>
                </c:pt>
                <c:pt idx="15">
                  <c:v>0.81835798993074493</c:v>
                </c:pt>
                <c:pt idx="16">
                  <c:v>0.81905381699124868</c:v>
                </c:pt>
                <c:pt idx="17">
                  <c:v>0.81976705223861668</c:v>
                </c:pt>
                <c:pt idx="18">
                  <c:v>0.82049817754089371</c:v>
                </c:pt>
                <c:pt idx="19">
                  <c:v>0.82124768887661181</c:v>
                </c:pt>
                <c:pt idx="20">
                  <c:v>0.78884376337943263</c:v>
                </c:pt>
                <c:pt idx="21">
                  <c:v>0.75947492660235283</c:v>
                </c:pt>
                <c:pt idx="22">
                  <c:v>0.73274837165277351</c:v>
                </c:pt>
                <c:pt idx="23">
                  <c:v>0.70833686551497443</c:v>
                </c:pt>
                <c:pt idx="24">
                  <c:v>0.68596563794022269</c:v>
                </c:pt>
                <c:pt idx="25">
                  <c:v>0.66540229610450552</c:v>
                </c:pt>
                <c:pt idx="26">
                  <c:v>0.64644898058001765</c:v>
                </c:pt>
                <c:pt idx="27">
                  <c:v>0.62893620229635383</c:v>
                </c:pt>
                <c:pt idx="28">
                  <c:v>0.61271795473966983</c:v>
                </c:pt>
                <c:pt idx="29">
                  <c:v>0.61527590455023462</c:v>
                </c:pt>
              </c:numCache>
            </c:numRef>
          </c:yVal>
          <c:smooth val="1"/>
          <c:extLst>
            <c:ext xmlns:c16="http://schemas.microsoft.com/office/drawing/2014/chart" uri="{C3380CC4-5D6E-409C-BE32-E72D297353CC}">
              <c16:uniqueId val="{00000000-055C-4B89-8EDA-30A18BB8E02B}"/>
            </c:ext>
          </c:extLst>
        </c:ser>
        <c:ser>
          <c:idx val="2"/>
          <c:order val="1"/>
          <c:tx>
            <c:strRef>
              <c:f>'[1]Reuse_FinLCC_UASB-RBF'!$B$39</c:f>
              <c:strCache>
                <c:ptCount val="1"/>
                <c:pt idx="0">
                  <c:v>COUT DE REVIENT SANS SUBVENTION</c:v>
                </c:pt>
              </c:strCache>
            </c:strRef>
          </c:tx>
          <c:spPr>
            <a:ln>
              <a:noFill/>
            </a:ln>
          </c:spPr>
          <c:marker>
            <c:symbol val="circle"/>
            <c:size val="12"/>
            <c:spPr>
              <a:solidFill>
                <a:srgbClr val="94358A"/>
              </a:solidFill>
              <a:ln>
                <a:solidFill>
                  <a:srgbClr val="94358A"/>
                </a:solidFill>
              </a:ln>
            </c:spPr>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55C-4B89-8EDA-30A18BB8E02B}"/>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55C-4B89-8EDA-30A18BB8E02B}"/>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55C-4B89-8EDA-30A18BB8E02B}"/>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55C-4B89-8EDA-30A18BB8E02B}"/>
                </c:ext>
              </c:extLst>
            </c:dLbl>
            <c:dLbl>
              <c:idx val="4"/>
              <c:tx>
                <c:rich>
                  <a:bodyPr/>
                  <a:lstStyle/>
                  <a:p>
                    <a:fld id="{F2239C9D-19A1-429D-B1F9-78ABDE5B5EE4}"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55C-4B89-8EDA-30A18BB8E02B}"/>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55C-4B89-8EDA-30A18BB8E02B}"/>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55C-4B89-8EDA-30A18BB8E02B}"/>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55C-4B89-8EDA-30A18BB8E02B}"/>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55C-4B89-8EDA-30A18BB8E02B}"/>
                </c:ext>
              </c:extLst>
            </c:dLbl>
            <c:dLbl>
              <c:idx val="9"/>
              <c:tx>
                <c:rich>
                  <a:bodyPr/>
                  <a:lstStyle/>
                  <a:p>
                    <a:fld id="{4DD7B9D8-EC1C-4241-9588-1BE1457FCEC1}"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55C-4B89-8EDA-30A18BB8E02B}"/>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55C-4B89-8EDA-30A18BB8E02B}"/>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55C-4B89-8EDA-30A18BB8E02B}"/>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55C-4B89-8EDA-30A18BB8E02B}"/>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55C-4B89-8EDA-30A18BB8E02B}"/>
                </c:ext>
              </c:extLst>
            </c:dLbl>
            <c:dLbl>
              <c:idx val="14"/>
              <c:tx>
                <c:rich>
                  <a:bodyPr/>
                  <a:lstStyle/>
                  <a:p>
                    <a:fld id="{EF868ED9-ABCB-4F37-A475-8DB4734A1D9F}"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55C-4B89-8EDA-30A18BB8E02B}"/>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55C-4B89-8EDA-30A18BB8E02B}"/>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55C-4B89-8EDA-30A18BB8E02B}"/>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55C-4B89-8EDA-30A18BB8E02B}"/>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55C-4B89-8EDA-30A18BB8E02B}"/>
                </c:ext>
              </c:extLst>
            </c:dLbl>
            <c:dLbl>
              <c:idx val="19"/>
              <c:tx>
                <c:rich>
                  <a:bodyPr/>
                  <a:lstStyle/>
                  <a:p>
                    <a:fld id="{E877B819-D6A1-43ED-8853-DC89CE58231B}"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55C-4B89-8EDA-30A18BB8E02B}"/>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55C-4B89-8EDA-30A18BB8E02B}"/>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55C-4B89-8EDA-30A18BB8E02B}"/>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55C-4B89-8EDA-30A18BB8E02B}"/>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55C-4B89-8EDA-30A18BB8E02B}"/>
                </c:ext>
              </c:extLst>
            </c:dLbl>
            <c:dLbl>
              <c:idx val="24"/>
              <c:tx>
                <c:rich>
                  <a:bodyPr/>
                  <a:lstStyle/>
                  <a:p>
                    <a:fld id="{5FCE10E4-0924-4541-ACDA-62293FC8A08E}"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55C-4B89-8EDA-30A18BB8E02B}"/>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55C-4B89-8EDA-30A18BB8E02B}"/>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55C-4B89-8EDA-30A18BB8E02B}"/>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55C-4B89-8EDA-30A18BB8E02B}"/>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55C-4B89-8EDA-30A18BB8E02B}"/>
                </c:ext>
              </c:extLst>
            </c:dLbl>
            <c:dLbl>
              <c:idx val="29"/>
              <c:tx>
                <c:rich>
                  <a:bodyPr/>
                  <a:lstStyle/>
                  <a:p>
                    <a:fld id="{9C0A3898-A182-4CAC-AAAA-F9946967192A}"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55C-4B89-8EDA-30A18BB8E02B}"/>
                </c:ext>
              </c:extLst>
            </c:dLbl>
            <c:dLbl>
              <c:idx val="34"/>
              <c:layout>
                <c:manualLayout>
                  <c:x val="-2.7485000778580994E-2"/>
                  <c:y val="-5.2407068860450948E-2"/>
                </c:manualLayout>
              </c:layout>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055C-4B89-8EDA-30A18BB8E02B}"/>
                </c:ext>
              </c:extLst>
            </c:dLbl>
            <c:numFmt formatCode="#,##0.00\ &quot;€/m3&quot;" sourceLinked="0"/>
            <c:spPr>
              <a:noFill/>
              <a:ln>
                <a:noFill/>
              </a:ln>
              <a:effectLst/>
            </c:spPr>
            <c:txPr>
              <a:bodyPr wrap="square" lIns="38100" tIns="19050" rIns="38100" bIns="19050" anchor="ctr">
                <a:spAutoFit/>
              </a:bodyPr>
              <a:lstStyle/>
              <a:p>
                <a:pPr>
                  <a:defRPr sz="1200" b="0">
                    <a:latin typeface="Poppins" panose="00000500000000000000" pitchFamily="2" charset="0"/>
                    <a:cs typeface="Poppins" panose="00000500000000000000" pitchFamily="2" charset="0"/>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strRef>
              <c:f>'[1]Reuse_FinLCC_UASB-RBF'!$B$44:$B$73</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xVal>
          <c:yVal>
            <c:numRef>
              <c:f>'[1]Reuse_FinLCC_UASB-RBF'!$T$44:$T$73</c:f>
              <c:numCache>
                <c:formatCode>General</c:formatCode>
                <c:ptCount val="30"/>
                <c:pt idx="4" formatCode="_-* #\ ##0.00\ _€_-;\-* #\ ##0.00\ _€_-;_-* &quot;-&quot;??\ _€_-;_-@_-">
                  <c:v>0.81172795562861932</c:v>
                </c:pt>
                <c:pt idx="9" formatCode="_-* #\ ##0.00\ _€_-;\-* #\ ##0.00\ _€_-;_-* &quot;-&quot;??\ _€_-;_-@_-">
                  <c:v>0.8145232906930131</c:v>
                </c:pt>
                <c:pt idx="14" formatCode="_-* #\ ##0.00\ _€_-;\-* #\ ##0.00\ _€_-;_-* &quot;-&quot;??\ _€_-;_-@_-">
                  <c:v>0.81767910288408907</c:v>
                </c:pt>
                <c:pt idx="19" formatCode="_-* #\ ##0.00\ _€_-;\-* #\ ##0.00\ _€_-;_-* &quot;-&quot;??\ _€_-;_-@_-">
                  <c:v>0.82124768887661181</c:v>
                </c:pt>
                <c:pt idx="24" formatCode="_-* #\ ##0.00\ _€_-;\-* #\ ##0.00\ _€_-;_-* &quot;-&quot;??\ _€_-;_-@_-">
                  <c:v>0.68596563794022269</c:v>
                </c:pt>
                <c:pt idx="29" formatCode="_-* #\ ##0.00\ _€_-;\-* #\ ##0.00\ _€_-;_-* &quot;-&quot;??\ _€_-;_-@_-">
                  <c:v>0.61527590455023462</c:v>
                </c:pt>
              </c:numCache>
            </c:numRef>
          </c:yVal>
          <c:smooth val="1"/>
          <c:extLst>
            <c:ext xmlns:c15="http://schemas.microsoft.com/office/drawing/2012/chart" uri="{02D57815-91ED-43cb-92C2-25804820EDAC}">
              <c15:datalabelsRange>
                <c15:f>'[1]Reuse_FinLCC_UASB-RBF'!$U$44:$U$73</c15:f>
                <c15:dlblRangeCache>
                  <c:ptCount val="30"/>
                  <c:pt idx="0">
                    <c:v>#RIF!</c:v>
                  </c:pt>
                  <c:pt idx="1">
                    <c:v>#RIF!</c:v>
                  </c:pt>
                  <c:pt idx="2">
                    <c:v>#RIF!</c:v>
                  </c:pt>
                  <c:pt idx="3">
                    <c:v>#RIF!</c:v>
                  </c:pt>
                  <c:pt idx="4">
                    <c:v>0,81 €/m³</c:v>
                  </c:pt>
                  <c:pt idx="5">
                    <c:v>#RIF!</c:v>
                  </c:pt>
                  <c:pt idx="6">
                    <c:v>#RIF!</c:v>
                  </c:pt>
                  <c:pt idx="7">
                    <c:v>#RIF!</c:v>
                  </c:pt>
                  <c:pt idx="8">
                    <c:v>#RIF!</c:v>
                  </c:pt>
                  <c:pt idx="9">
                    <c:v>0,81 €/m³</c:v>
                  </c:pt>
                  <c:pt idx="10">
                    <c:v>#RIF!</c:v>
                  </c:pt>
                  <c:pt idx="11">
                    <c:v>#RIF!</c:v>
                  </c:pt>
                  <c:pt idx="12">
                    <c:v>#RIF!</c:v>
                  </c:pt>
                  <c:pt idx="13">
                    <c:v>#RIF!</c:v>
                  </c:pt>
                  <c:pt idx="14">
                    <c:v>0,82 €/m³</c:v>
                  </c:pt>
                  <c:pt idx="15">
                    <c:v>#RIF!</c:v>
                  </c:pt>
                  <c:pt idx="16">
                    <c:v>#RIF!</c:v>
                  </c:pt>
                  <c:pt idx="17">
                    <c:v>#RIF!</c:v>
                  </c:pt>
                  <c:pt idx="18">
                    <c:v>#RIF!</c:v>
                  </c:pt>
                  <c:pt idx="19">
                    <c:v>0,82 €/m³</c:v>
                  </c:pt>
                  <c:pt idx="20">
                    <c:v>#RIF!</c:v>
                  </c:pt>
                  <c:pt idx="21">
                    <c:v>#RIF!</c:v>
                  </c:pt>
                  <c:pt idx="22">
                    <c:v>#RIF!</c:v>
                  </c:pt>
                  <c:pt idx="23">
                    <c:v>#RIF!</c:v>
                  </c:pt>
                  <c:pt idx="24">
                    <c:v>0,69 €/m³</c:v>
                  </c:pt>
                  <c:pt idx="25">
                    <c:v>#RIF!</c:v>
                  </c:pt>
                  <c:pt idx="26">
                    <c:v>#RIF!</c:v>
                  </c:pt>
                  <c:pt idx="27">
                    <c:v>#RIF!</c:v>
                  </c:pt>
                  <c:pt idx="28">
                    <c:v>#RIF!</c:v>
                  </c:pt>
                  <c:pt idx="29">
                    <c:v>0,62 €/m³</c:v>
                  </c:pt>
                </c15:dlblRangeCache>
              </c15:datalabelsRange>
            </c:ext>
            <c:ext xmlns:c16="http://schemas.microsoft.com/office/drawing/2014/chart" uri="{C3380CC4-5D6E-409C-BE32-E72D297353CC}">
              <c16:uniqueId val="{00000020-055C-4B89-8EDA-30A18BB8E02B}"/>
            </c:ext>
          </c:extLst>
        </c:ser>
        <c:dLbls>
          <c:showLegendKey val="0"/>
          <c:showVal val="0"/>
          <c:showCatName val="0"/>
          <c:showSerName val="0"/>
          <c:showPercent val="0"/>
          <c:showBubbleSize val="0"/>
        </c:dLbls>
        <c:axId val="1007126672"/>
        <c:axId val="1007129584"/>
      </c:scatterChart>
      <c:valAx>
        <c:axId val="1007126672"/>
        <c:scaling>
          <c:orientation val="minMax"/>
          <c:max val="30"/>
        </c:scaling>
        <c:delete val="0"/>
        <c:axPos val="t"/>
        <c:majorGridlines>
          <c:spPr>
            <a:ln w="9525" cap="flat" cmpd="sng" algn="ctr">
              <a:solidFill>
                <a:schemeClr val="tx1">
                  <a:lumMod val="15000"/>
                  <a:lumOff val="85000"/>
                </a:schemeClr>
              </a:solidFill>
              <a:round/>
            </a:ln>
            <a:effectLst/>
          </c:spPr>
        </c:majorGridlines>
        <c:title>
          <c:tx>
            <c:rich>
              <a:bodyPr/>
              <a:lstStyle/>
              <a:p>
                <a:pPr>
                  <a:defRPr sz="1200" b="0">
                    <a:latin typeface="Poppins" panose="00000500000000000000" pitchFamily="2" charset="0"/>
                    <a:cs typeface="Poppins" panose="00000500000000000000" pitchFamily="2" charset="0"/>
                  </a:defRPr>
                </a:pPr>
                <a:r>
                  <a:rPr lang="fr-FR" sz="1200" b="0">
                    <a:latin typeface="Poppins" panose="00000500000000000000" pitchFamily="2" charset="0"/>
                    <a:cs typeface="Poppins" panose="00000500000000000000" pitchFamily="2" charset="0"/>
                  </a:rPr>
                  <a:t>Operation length</a:t>
                </a:r>
              </a:p>
            </c:rich>
          </c:tx>
          <c:layout>
            <c:manualLayout>
              <c:xMode val="edge"/>
              <c:yMode val="edge"/>
              <c:x val="0.59567026386566391"/>
              <c:y val="2.4622939778908282E-2"/>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007129584"/>
        <c:crosses val="max"/>
        <c:crossBetween val="midCat"/>
        <c:majorUnit val="1"/>
      </c:valAx>
      <c:valAx>
        <c:axId val="1007129584"/>
        <c:scaling>
          <c:logBase val="4"/>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200" b="0">
                    <a:latin typeface="Poppins" panose="00000500000000000000" pitchFamily="2" charset="0"/>
                    <a:cs typeface="Poppins" panose="00000500000000000000" pitchFamily="2" charset="0"/>
                  </a:defRPr>
                </a:pPr>
                <a:r>
                  <a:rPr lang="fr-FR" sz="1200" b="0">
                    <a:latin typeface="Poppins" panose="00000500000000000000" pitchFamily="2" charset="0"/>
                    <a:cs typeface="Poppins" panose="00000500000000000000" pitchFamily="2" charset="0"/>
                  </a:rPr>
                  <a:t>Price cost</a:t>
                </a:r>
                <a:r>
                  <a:rPr lang="fr-FR" sz="1200" b="0" baseline="0">
                    <a:latin typeface="Poppins" panose="00000500000000000000" pitchFamily="2" charset="0"/>
                    <a:cs typeface="Poppins" panose="00000500000000000000" pitchFamily="2" charset="0"/>
                  </a:rPr>
                  <a:t> of water (</a:t>
                </a:r>
                <a:r>
                  <a:rPr lang="en-US" sz="1200" b="0" i="0" u="none" strike="noStrike" baseline="0">
                    <a:effectLst/>
                  </a:rPr>
                  <a:t>€/m</a:t>
                </a:r>
                <a:r>
                  <a:rPr lang="en-US" sz="1200" b="0" i="0" u="none" strike="noStrike" baseline="30000">
                    <a:effectLst/>
                  </a:rPr>
                  <a:t>3</a:t>
                </a:r>
                <a:r>
                  <a:rPr lang="en-US" sz="1200" b="0" i="0" u="none" strike="noStrike" baseline="0">
                    <a:effectLst/>
                  </a:rPr>
                  <a:t>)</a:t>
                </a:r>
                <a:endParaRPr lang="fr-FR" sz="1200" b="0">
                  <a:latin typeface="Poppins" panose="00000500000000000000" pitchFamily="2" charset="0"/>
                  <a:cs typeface="Poppins" panose="00000500000000000000" pitchFamily="2" charset="0"/>
                </a:endParaRPr>
              </a:p>
            </c:rich>
          </c:tx>
          <c:overlay val="0"/>
        </c:title>
        <c:numFmt formatCode="#,##0\ &quot;€&quot;"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007126672"/>
        <c:crossesAt val="0"/>
        <c:crossBetween val="midCat"/>
      </c:valAx>
    </c:plotArea>
    <c:plotVisOnly val="1"/>
    <c:dispBlanksAs val="gap"/>
    <c:showDLblsOverMax val="0"/>
    <c:extLst/>
  </c:chart>
  <c:spPr>
    <a:ln>
      <a:solidFill>
        <a:srgbClr val="2F3C4D"/>
      </a:solidFill>
    </a:ln>
  </c:spPr>
  <c:txPr>
    <a:bodyPr/>
    <a:lstStyle/>
    <a:p>
      <a:pPr>
        <a:defRPr/>
      </a:pPr>
      <a:endParaRPr lang="fr-FR"/>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[1]Reuse_FinLCC_ReclaReuse!$B$3</c:f>
          <c:strCache>
            <c:ptCount val="1"/>
            <c:pt idx="0">
              <c:v>Price cost for reclaimation and reuse - Operation of 30 years (128 000 m³/year)</c:v>
            </c:pt>
          </c:strCache>
        </c:strRef>
      </c:tx>
      <c:layout>
        <c:manualLayout>
          <c:xMode val="edge"/>
          <c:yMode val="edge"/>
          <c:x val="8.6781107113115347E-2"/>
          <c:y val="1.7342273639296926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chemeClr val="tx1"/>
              </a:solidFill>
              <a:latin typeface="Poppins" panose="00000500000000000000" pitchFamily="2" charset="0"/>
              <a:ea typeface="+mn-ea"/>
              <a:cs typeface="Poppins" panose="00000500000000000000" pitchFamily="2" charset="0"/>
            </a:defRPr>
          </a:pPr>
          <a:endParaRPr lang="fr-FR"/>
        </a:p>
      </c:txPr>
    </c:title>
    <c:autoTitleDeleted val="0"/>
    <c:plotArea>
      <c:layout>
        <c:manualLayout>
          <c:layoutTarget val="inner"/>
          <c:xMode val="edge"/>
          <c:yMode val="edge"/>
          <c:x val="0.11416291714022278"/>
          <c:y val="0.21517135459824016"/>
          <c:w val="0.86167058485692971"/>
          <c:h val="0.58796346640969221"/>
        </c:manualLayout>
      </c:layout>
      <c:barChart>
        <c:barDir val="col"/>
        <c:grouping val="percentStacked"/>
        <c:varyColors val="0"/>
        <c:ser>
          <c:idx val="0"/>
          <c:order val="0"/>
          <c:tx>
            <c:strRef>
              <c:f>[1]Reuse_FinLCC_ReclaReuse!$E$6</c:f>
              <c:strCache>
                <c:ptCount val="1"/>
                <c:pt idx="0">
                  <c:v>MIP</c:v>
                </c:pt>
              </c:strCache>
            </c:strRef>
          </c:tx>
          <c:spPr>
            <a:solidFill>
              <a:srgbClr val="94358A"/>
            </a:solidFill>
            <a:ln>
              <a:noFill/>
            </a:ln>
            <a:effectLst/>
          </c:spPr>
          <c:invertIfNegative val="0"/>
          <c:dLbls>
            <c:dLbl>
              <c:idx val="0"/>
              <c:tx>
                <c:rich>
                  <a:bodyPr/>
                  <a:lstStyle/>
                  <a:p>
                    <a:fld id="{7512FD13-7D8D-46E4-94AF-B24459706E1E}" type="CELLRANGE">
                      <a:rPr lang="en-US"/>
                      <a:pPr/>
                      <a:t>[]</a:t>
                    </a:fld>
                    <a:endParaRPr lang="en-US" baseline="0"/>
                  </a:p>
                  <a:p>
                    <a:fld id="{0163992C-86F1-4BD0-963F-4D13C4534F95}" type="VALUE">
                      <a:rPr lang="en-US"/>
                      <a:pPr/>
                      <a:t>[]</a:t>
                    </a:fld>
                    <a:endParaRPr/>
                  </a:p>
                </c:rich>
              </c:tx>
              <c:dLblPos val="ct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B824-41DC-B33D-70F67EC4A9B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[1]Reuse_FinLCC_ReclaReuse!$B$7</c:f>
              <c:strCache>
                <c:ptCount val="1"/>
                <c:pt idx="0">
                  <c:v>Without any subsidises</c:v>
                </c:pt>
              </c:strCache>
            </c:strRef>
          </c:cat>
          <c:val>
            <c:numRef>
              <c:f>[1]Reuse_FinLCC_ReclaReuse!$E$7</c:f>
              <c:numCache>
                <c:formatCode>General</c:formatCode>
                <c:ptCount val="1"/>
                <c:pt idx="0">
                  <c:v>1.735014112804143</c:v>
                </c:pt>
              </c:numCache>
            </c:numRef>
          </c:val>
          <c:extLst>
            <c:ext xmlns:c15="http://schemas.microsoft.com/office/drawing/2012/chart" uri="{02D57815-91ED-43cb-92C2-25804820EDAC}">
              <c15:datalabelsRange>
                <c15:f>[1]Reuse_FinLCC_ReclaReuse!$E$9</c15:f>
                <c15:dlblRangeCache>
                  <c:ptCount val="1"/>
                  <c:pt idx="0">
                    <c:v>0.722873251147166</c:v>
                  </c:pt>
                </c15:dlblRangeCache>
              </c15:datalabelsRange>
            </c:ext>
            <c:ext xmlns:c16="http://schemas.microsoft.com/office/drawing/2014/chart" uri="{C3380CC4-5D6E-409C-BE32-E72D297353CC}">
              <c16:uniqueId val="{00000001-B824-41DC-B33D-70F67EC4A9B7}"/>
            </c:ext>
          </c:extLst>
        </c:ser>
        <c:ser>
          <c:idx val="1"/>
          <c:order val="1"/>
          <c:tx>
            <c:strRef>
              <c:f>[1]Reuse_FinLCC_ReclaReuse!$F$6</c:f>
              <c:strCache>
                <c:ptCount val="1"/>
                <c:pt idx="0">
                  <c:v>UV</c:v>
                </c:pt>
              </c:strCache>
            </c:strRef>
          </c:tx>
          <c:spPr>
            <a:solidFill>
              <a:srgbClr val="FAB900"/>
            </a:solidFill>
            <a:ln>
              <a:noFill/>
            </a:ln>
            <a:effectLst/>
          </c:spPr>
          <c:invertIfNegative val="0"/>
          <c:dLbls>
            <c:dLbl>
              <c:idx val="0"/>
              <c:layout>
                <c:manualLayout>
                  <c:x val="-0.25542479141460961"/>
                  <c:y val="2.4272400184161758E-2"/>
                </c:manualLayout>
              </c:layout>
              <c:tx>
                <c:rich>
                  <a:bodyPr/>
                  <a:lstStyle/>
                  <a:p>
                    <a:fld id="{21AE4631-DD24-40F8-909F-3455C8115FF9}" type="CELLRANGE">
                      <a:rPr lang="en-US" b="1" baseline="0">
                        <a:solidFill>
                          <a:schemeClr val="bg1"/>
                        </a:solidFill>
                      </a:rPr>
                      <a:pPr/>
                      <a:t>[]</a:t>
                    </a:fld>
                    <a:endParaRPr lang="en-US" b="1" baseline="0">
                      <a:solidFill>
                        <a:schemeClr val="bg1"/>
                      </a:solidFill>
                    </a:endParaRPr>
                  </a:p>
                  <a:p>
                    <a:fld id="{2FF7F4BA-FF35-4E00-B5A0-ABFE4ED455AA}" type="VALUE">
                      <a:rPr lang="en-US" b="1" baseline="0">
                        <a:solidFill>
                          <a:schemeClr val="bg1"/>
                        </a:solidFill>
                      </a:rPr>
                      <a:pPr/>
                      <a:t>[]</a:t>
                    </a:fld>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B824-41DC-B33D-70F67EC4A9B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[1]Reuse_FinLCC_ReclaReuse!$B$7</c:f>
              <c:strCache>
                <c:ptCount val="1"/>
                <c:pt idx="0">
                  <c:v>Without any subsidises</c:v>
                </c:pt>
              </c:strCache>
            </c:strRef>
          </c:cat>
          <c:val>
            <c:numRef>
              <c:f>[1]Reuse_FinLCC_ReclaReuse!$F$7</c:f>
              <c:numCache>
                <c:formatCode>General</c:formatCode>
                <c:ptCount val="1"/>
                <c:pt idx="0">
                  <c:v>4.736644004010733E-2</c:v>
                </c:pt>
              </c:numCache>
            </c:numRef>
          </c:val>
          <c:extLst>
            <c:ext xmlns:c15="http://schemas.microsoft.com/office/drawing/2012/chart" uri="{02D57815-91ED-43cb-92C2-25804820EDAC}">
              <c15:datalabelsRange>
                <c15:f>[1]Reuse_FinLCC_ReclaReuse!$F$9</c15:f>
                <c15:dlblRangeCache>
                  <c:ptCount val="1"/>
                  <c:pt idx="0">
                    <c:v>0.0197346708907865</c:v>
                  </c:pt>
                </c15:dlblRangeCache>
              </c15:datalabelsRange>
            </c:ext>
            <c:ext xmlns:c16="http://schemas.microsoft.com/office/drawing/2014/chart" uri="{C3380CC4-5D6E-409C-BE32-E72D297353CC}">
              <c16:uniqueId val="{00000003-B824-41DC-B33D-70F67EC4A9B7}"/>
            </c:ext>
          </c:extLst>
        </c:ser>
        <c:ser>
          <c:idx val="2"/>
          <c:order val="2"/>
          <c:tx>
            <c:strRef>
              <c:f>[1]Reuse_FinLCC_ReclaReuse!$G$6</c:f>
              <c:strCache>
                <c:ptCount val="1"/>
                <c:pt idx="0">
                  <c:v>Storage</c:v>
                </c:pt>
              </c:strCache>
            </c:strRef>
          </c:tx>
          <c:spPr>
            <a:solidFill>
              <a:srgbClr val="05BAEE"/>
            </a:solidFill>
            <a:ln>
              <a:noFill/>
            </a:ln>
            <a:effectLst/>
          </c:spPr>
          <c:invertIfNegative val="0"/>
          <c:dLbls>
            <c:dLbl>
              <c:idx val="0"/>
              <c:layout>
                <c:manualLayout>
                  <c:x val="0.23347422340241661"/>
                  <c:y val="-4.8124563042230249E-3"/>
                </c:manualLayout>
              </c:layout>
              <c:tx>
                <c:rich>
                  <a:bodyPr/>
                  <a:lstStyle/>
                  <a:p>
                    <a:fld id="{A1CAB64D-C765-4BD2-8CB0-F813DCCAB80E}" type="CELLRANGE">
                      <a:rPr lang="en-US"/>
                      <a:pPr/>
                      <a:t>[]</a:t>
                    </a:fld>
                    <a:endParaRPr lang="en-US" baseline="0"/>
                  </a:p>
                  <a:p>
                    <a:fld id="{CC058330-1BA9-4754-AD3D-CE076DE4036F}" type="VALUE">
                      <a:rPr lang="en-US"/>
                      <a:pPr/>
                      <a:t>[]</a:t>
                    </a:fld>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B824-41DC-B33D-70F67EC4A9B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[1]Reuse_FinLCC_ReclaReuse!$B$7</c:f>
              <c:strCache>
                <c:ptCount val="1"/>
                <c:pt idx="0">
                  <c:v>Without any subsidises</c:v>
                </c:pt>
              </c:strCache>
            </c:strRef>
          </c:cat>
          <c:val>
            <c:numRef>
              <c:f>[1]Reuse_FinLCC_ReclaReuse!$G$7</c:f>
              <c:numCache>
                <c:formatCode>General</c:formatCode>
                <c:ptCount val="1"/>
                <c:pt idx="0">
                  <c:v>0.14710467793886564</c:v>
                </c:pt>
              </c:numCache>
            </c:numRef>
          </c:val>
          <c:extLst>
            <c:ext xmlns:c15="http://schemas.microsoft.com/office/drawing/2012/chart" uri="{02D57815-91ED-43cb-92C2-25804820EDAC}">
              <c15:datalabelsRange>
                <c15:f>[1]Reuse_FinLCC_ReclaReuse!$G$9</c15:f>
                <c15:dlblRangeCache>
                  <c:ptCount val="1"/>
                  <c:pt idx="0">
                    <c:v>0.0612894362160318</c:v>
                  </c:pt>
                </c15:dlblRangeCache>
              </c15:datalabelsRange>
            </c:ext>
            <c:ext xmlns:c16="http://schemas.microsoft.com/office/drawing/2014/chart" uri="{C3380CC4-5D6E-409C-BE32-E72D297353CC}">
              <c16:uniqueId val="{00000005-B824-41DC-B33D-70F67EC4A9B7}"/>
            </c:ext>
          </c:extLst>
        </c:ser>
        <c:ser>
          <c:idx val="3"/>
          <c:order val="3"/>
          <c:tx>
            <c:strRef>
              <c:f>[1]Reuse_FinLCC_ReclaReuse!$H$6</c:f>
              <c:strCache>
                <c:ptCount val="1"/>
                <c:pt idx="0">
                  <c:v>Distribution</c:v>
                </c:pt>
              </c:strCache>
            </c:strRef>
          </c:tx>
          <c:spPr>
            <a:solidFill>
              <a:srgbClr val="2F3C4D"/>
            </a:solidFill>
            <a:ln>
              <a:noFill/>
            </a:ln>
            <a:effectLst/>
          </c:spPr>
          <c:invertIfNegative val="0"/>
          <c:dLbls>
            <c:dLbl>
              <c:idx val="0"/>
              <c:tx>
                <c:rich>
                  <a:bodyPr/>
                  <a:lstStyle/>
                  <a:p>
                    <a:fld id="{A02CF4EE-98EC-462B-B2EA-B5D7EBB9148E}" type="CELLRANGE">
                      <a:rPr lang="en-US"/>
                      <a:pPr/>
                      <a:t>[]</a:t>
                    </a:fld>
                    <a:endParaRPr lang="en-US" baseline="0"/>
                  </a:p>
                  <a:p>
                    <a:fld id="{8B190F9F-24FF-4A1D-915F-67CB055FF9CF}" type="VALUE">
                      <a:rPr lang="en-US"/>
                      <a:pPr/>
                      <a:t>[]</a:t>
                    </a:fld>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B824-41DC-B33D-70F67EC4A9B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[1]Reuse_FinLCC_ReclaReuse!$B$7</c:f>
              <c:strCache>
                <c:ptCount val="1"/>
                <c:pt idx="0">
                  <c:v>Without any subsidises</c:v>
                </c:pt>
              </c:strCache>
            </c:strRef>
          </c:cat>
          <c:val>
            <c:numRef>
              <c:f>[1]Reuse_FinLCC_ReclaReuse!$H$7</c:f>
              <c:numCache>
                <c:formatCode>General</c:formatCode>
                <c:ptCount val="1"/>
                <c:pt idx="0">
                  <c:v>0.4706784356006623</c:v>
                </c:pt>
              </c:numCache>
            </c:numRef>
          </c:val>
          <c:extLst>
            <c:ext xmlns:c15="http://schemas.microsoft.com/office/drawing/2012/chart" uri="{02D57815-91ED-43cb-92C2-25804820EDAC}">
              <c15:datalabelsRange>
                <c15:f>[1]Reuse_FinLCC_ReclaReuse!$H$9</c15:f>
                <c15:dlblRangeCache>
                  <c:ptCount val="1"/>
                  <c:pt idx="0">
                    <c:v>0.196102641746016</c:v>
                  </c:pt>
                </c15:dlblRangeCache>
              </c15:datalabelsRange>
            </c:ext>
            <c:ext xmlns:c16="http://schemas.microsoft.com/office/drawing/2014/chart" uri="{C3380CC4-5D6E-409C-BE32-E72D297353CC}">
              <c16:uniqueId val="{00000007-B824-41DC-B33D-70F67EC4A9B7}"/>
            </c:ext>
          </c:extLst>
        </c:ser>
        <c:dLbls>
          <c:dLblPos val="ctr"/>
          <c:showLegendKey val="0"/>
          <c:showVal val="1"/>
          <c:showCatName val="0"/>
          <c:showSerName val="0"/>
          <c:showPercent val="0"/>
          <c:showBubbleSize val="0"/>
        </c:dLbls>
        <c:gapWidth val="10"/>
        <c:overlap val="100"/>
        <c:axId val="1716020671"/>
        <c:axId val="1716021919"/>
      </c:barChart>
      <c:catAx>
        <c:axId val="1716020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716021919"/>
        <c:crosses val="autoZero"/>
        <c:auto val="1"/>
        <c:lblAlgn val="ctr"/>
        <c:lblOffset val="100"/>
        <c:noMultiLvlLbl val="0"/>
      </c:catAx>
      <c:valAx>
        <c:axId val="1716021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a:latin typeface="Poppins" panose="00000500000000000000" pitchFamily="2" charset="0"/>
                    <a:cs typeface="Poppins" panose="00000500000000000000" pitchFamily="2" charset="0"/>
                  </a:rPr>
                  <a:t>Price  cost distribution per facility</a:t>
                </a:r>
              </a:p>
            </c:rich>
          </c:tx>
          <c:layout>
            <c:manualLayout>
              <c:xMode val="edge"/>
              <c:yMode val="edge"/>
              <c:x val="2.7552873590755709E-3"/>
              <c:y val="0.211581927016431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716020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2F3C4D"/>
      </a:solidFill>
      <a:round/>
    </a:ln>
    <a:effectLst/>
  </c:spPr>
  <c:txPr>
    <a:bodyPr/>
    <a:lstStyle/>
    <a:p>
      <a:pPr>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Poppins" panose="00000500000000000000" pitchFamily="2" charset="0"/>
                <a:ea typeface="+mn-ea"/>
                <a:cs typeface="Poppins" panose="00000500000000000000" pitchFamily="2" charset="0"/>
              </a:defRPr>
            </a:pPr>
            <a:r>
              <a:rPr lang="fr-FR" sz="1600" b="1">
                <a:solidFill>
                  <a:schemeClr val="tx1"/>
                </a:solidFill>
                <a:latin typeface="Poppins" panose="00000500000000000000" pitchFamily="2" charset="0"/>
                <a:cs typeface="Poppins" panose="00000500000000000000" pitchFamily="2" charset="0"/>
              </a:rPr>
              <a:t>Price cost</a:t>
            </a:r>
            <a:r>
              <a:rPr lang="fr-FR" sz="1600" b="1" baseline="0">
                <a:solidFill>
                  <a:schemeClr val="tx1"/>
                </a:solidFill>
                <a:latin typeface="Poppins" panose="00000500000000000000" pitchFamily="2" charset="0"/>
                <a:cs typeface="Poppins" panose="00000500000000000000" pitchFamily="2" charset="0"/>
              </a:rPr>
              <a:t> (no subsidises) of reused water (from entrance of WWTP to irrigation dripper)</a:t>
            </a:r>
            <a:endParaRPr lang="fr-FR" sz="1600" b="1">
              <a:solidFill>
                <a:schemeClr val="tx1"/>
              </a:solidFill>
              <a:latin typeface="Poppins" panose="00000500000000000000" pitchFamily="2" charset="0"/>
              <a:cs typeface="Poppins" panose="00000500000000000000" pitchFamily="2" charset="0"/>
            </a:endParaRPr>
          </a:p>
        </c:rich>
      </c:tx>
      <c:layout>
        <c:manualLayout>
          <c:xMode val="edge"/>
          <c:yMode val="edge"/>
          <c:x val="1.866787194092456E-2"/>
          <c:y val="0"/>
        </c:manualLayout>
      </c:layout>
      <c:overlay val="0"/>
      <c:spPr>
        <a:noFill/>
        <a:ln>
          <a:noFill/>
        </a:ln>
        <a:effectLst/>
      </c:spPr>
    </c:title>
    <c:autoTitleDeleted val="0"/>
    <c:plotArea>
      <c:layout>
        <c:manualLayout>
          <c:layoutTarget val="inner"/>
          <c:xMode val="edge"/>
          <c:yMode val="edge"/>
          <c:x val="3.6957205153919814E-2"/>
          <c:y val="0.14600853138330286"/>
          <c:w val="0.94852145335661475"/>
          <c:h val="0.8253503960999391"/>
        </c:manualLayout>
      </c:layout>
      <c:scatterChart>
        <c:scatterStyle val="smoothMarker"/>
        <c:varyColors val="0"/>
        <c:ser>
          <c:idx val="1"/>
          <c:order val="0"/>
          <c:tx>
            <c:strRef>
              <c:f>[1]Reuse_FinLCC_ReclaReuse!$B$39</c:f>
              <c:strCache>
                <c:ptCount val="1"/>
                <c:pt idx="0">
                  <c:v>COUT DE REVIENT SANS SUBVENTION</c:v>
                </c:pt>
              </c:strCache>
            </c:strRef>
          </c:tx>
          <c:spPr>
            <a:ln w="38100">
              <a:solidFill>
                <a:srgbClr val="94358A"/>
              </a:solidFill>
            </a:ln>
          </c:spPr>
          <c:marker>
            <c:symbol val="none"/>
          </c:marker>
          <c:xVal>
            <c:strRef>
              <c:f>[1]Reuse_FinLCC_ReclaReuse!$B$44:$B$73</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xVal>
          <c:yVal>
            <c:numRef>
              <c:f>[1]Reuse_FinLCC_ReclaReuse!$AA$44:$AA$73</c:f>
              <c:numCache>
                <c:formatCode>General</c:formatCode>
                <c:ptCount val="30"/>
                <c:pt idx="0">
                  <c:v>2.52423980312527</c:v>
                </c:pt>
                <c:pt idx="1">
                  <c:v>2.5255956030515199</c:v>
                </c:pt>
                <c:pt idx="2">
                  <c:v>2.5269839421759999</c:v>
                </c:pt>
                <c:pt idx="3">
                  <c:v>2.5284056990570623</c:v>
                </c:pt>
                <c:pt idx="4">
                  <c:v>2.5298617775555394</c:v>
                </c:pt>
                <c:pt idx="5">
                  <c:v>2.5313531075938194</c:v>
                </c:pt>
                <c:pt idx="6">
                  <c:v>2.5328806459383415</c:v>
                </c:pt>
                <c:pt idx="7">
                  <c:v>2.5344453770062572</c:v>
                </c:pt>
                <c:pt idx="8">
                  <c:v>2.5360483136970053</c:v>
                </c:pt>
                <c:pt idx="9">
                  <c:v>2.5376904982496065</c:v>
                </c:pt>
                <c:pt idx="10">
                  <c:v>2.5393730031264625</c:v>
                </c:pt>
                <c:pt idx="11">
                  <c:v>2.5410969319245273</c:v>
                </c:pt>
                <c:pt idx="12">
                  <c:v>2.5428634203146836</c:v>
                </c:pt>
                <c:pt idx="13">
                  <c:v>2.5446736370102356</c:v>
                </c:pt>
                <c:pt idx="14">
                  <c:v>2.5465287847654396</c:v>
                </c:pt>
                <c:pt idx="15">
                  <c:v>2.5484301014050033</c:v>
                </c:pt>
                <c:pt idx="16">
                  <c:v>2.550378860885556</c:v>
                </c:pt>
                <c:pt idx="17">
                  <c:v>2.552376374390084</c:v>
                </c:pt>
                <c:pt idx="18">
                  <c:v>2.5544239914563884</c:v>
                </c:pt>
                <c:pt idx="19">
                  <c:v>2.5565231011406317</c:v>
                </c:pt>
                <c:pt idx="20">
                  <c:v>2.5319965059817351</c:v>
                </c:pt>
                <c:pt idx="21">
                  <c:v>2.509949634693232</c:v>
                </c:pt>
                <c:pt idx="22">
                  <c:v>2.49006765487698</c:v>
                </c:pt>
                <c:pt idx="23">
                  <c:v>2.4720885032408746</c:v>
                </c:pt>
                <c:pt idx="24">
                  <c:v>2.455792342043333</c:v>
                </c:pt>
                <c:pt idx="25">
                  <c:v>2.4409934490213265</c:v>
                </c:pt>
                <c:pt idx="26">
                  <c:v>2.4275339099111304</c:v>
                </c:pt>
                <c:pt idx="27">
                  <c:v>2.4152786629259335</c:v>
                </c:pt>
                <c:pt idx="28">
                  <c:v>2.4041115688681862</c:v>
                </c:pt>
                <c:pt idx="29">
                  <c:v>2.400163666383778</c:v>
                </c:pt>
              </c:numCache>
            </c:numRef>
          </c:yVal>
          <c:smooth val="1"/>
          <c:extLst>
            <c:ext xmlns:c16="http://schemas.microsoft.com/office/drawing/2014/chart" uri="{C3380CC4-5D6E-409C-BE32-E72D297353CC}">
              <c16:uniqueId val="{00000000-0B7D-4A64-A79B-3C9DE6B47E49}"/>
            </c:ext>
          </c:extLst>
        </c:ser>
        <c:ser>
          <c:idx val="2"/>
          <c:order val="1"/>
          <c:tx>
            <c:strRef>
              <c:f>[1]Reuse_FinLCC_ReclaReuse!$B$39</c:f>
              <c:strCache>
                <c:ptCount val="1"/>
                <c:pt idx="0">
                  <c:v>COUT DE REVIENT SANS SUBVENTION</c:v>
                </c:pt>
              </c:strCache>
            </c:strRef>
          </c:tx>
          <c:spPr>
            <a:ln>
              <a:noFill/>
            </a:ln>
          </c:spPr>
          <c:marker>
            <c:symbol val="circle"/>
            <c:size val="12"/>
            <c:spPr>
              <a:solidFill>
                <a:srgbClr val="94358A"/>
              </a:solidFill>
              <a:ln>
                <a:solidFill>
                  <a:srgbClr val="94358A"/>
                </a:solidFill>
              </a:ln>
            </c:spPr>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B7D-4A64-A79B-3C9DE6B47E4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7D-4A64-A79B-3C9DE6B47E49}"/>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7D-4A64-A79B-3C9DE6B47E49}"/>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7D-4A64-A79B-3C9DE6B47E49}"/>
                </c:ext>
              </c:extLst>
            </c:dLbl>
            <c:dLbl>
              <c:idx val="4"/>
              <c:tx>
                <c:rich>
                  <a:bodyPr/>
                  <a:lstStyle/>
                  <a:p>
                    <a:fld id="{69374589-4F2E-4DB7-82B5-F0BEBFE48AD3}"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7D-4A64-A79B-3C9DE6B47E49}"/>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7D-4A64-A79B-3C9DE6B47E49}"/>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7D-4A64-A79B-3C9DE6B47E49}"/>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7D-4A64-A79B-3C9DE6B47E49}"/>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7D-4A64-A79B-3C9DE6B47E49}"/>
                </c:ext>
              </c:extLst>
            </c:dLbl>
            <c:dLbl>
              <c:idx val="9"/>
              <c:tx>
                <c:rich>
                  <a:bodyPr/>
                  <a:lstStyle/>
                  <a:p>
                    <a:fld id="{C1C5A69A-8240-4AB5-B8C9-4C2FDCC4D25F}"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B7D-4A64-A79B-3C9DE6B47E49}"/>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7D-4A64-A79B-3C9DE6B47E49}"/>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7D-4A64-A79B-3C9DE6B47E49}"/>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7D-4A64-A79B-3C9DE6B47E49}"/>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7D-4A64-A79B-3C9DE6B47E49}"/>
                </c:ext>
              </c:extLst>
            </c:dLbl>
            <c:dLbl>
              <c:idx val="14"/>
              <c:tx>
                <c:rich>
                  <a:bodyPr/>
                  <a:lstStyle/>
                  <a:p>
                    <a:fld id="{0E6E1531-93C6-43CF-953F-11B2777A7FB5}"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B7D-4A64-A79B-3C9DE6B47E49}"/>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7D-4A64-A79B-3C9DE6B47E49}"/>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7D-4A64-A79B-3C9DE6B47E49}"/>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7D-4A64-A79B-3C9DE6B47E49}"/>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7D-4A64-A79B-3C9DE6B47E49}"/>
                </c:ext>
              </c:extLst>
            </c:dLbl>
            <c:dLbl>
              <c:idx val="19"/>
              <c:tx>
                <c:rich>
                  <a:bodyPr/>
                  <a:lstStyle/>
                  <a:p>
                    <a:fld id="{B23B3D4B-9712-4750-8201-23FA0BC8500E}"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B7D-4A64-A79B-3C9DE6B47E49}"/>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7D-4A64-A79B-3C9DE6B47E49}"/>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7D-4A64-A79B-3C9DE6B47E49}"/>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7D-4A64-A79B-3C9DE6B47E49}"/>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7D-4A64-A79B-3C9DE6B47E49}"/>
                </c:ext>
              </c:extLst>
            </c:dLbl>
            <c:dLbl>
              <c:idx val="24"/>
              <c:tx>
                <c:rich>
                  <a:bodyPr/>
                  <a:lstStyle/>
                  <a:p>
                    <a:fld id="{2BBBB2E1-8FEF-4B38-9D42-C261286B4FB6}"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B7D-4A64-A79B-3C9DE6B47E49}"/>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B7D-4A64-A79B-3C9DE6B47E49}"/>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B7D-4A64-A79B-3C9DE6B47E49}"/>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B7D-4A64-A79B-3C9DE6B47E49}"/>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B7D-4A64-A79B-3C9DE6B47E49}"/>
                </c:ext>
              </c:extLst>
            </c:dLbl>
            <c:dLbl>
              <c:idx val="29"/>
              <c:tx>
                <c:rich>
                  <a:bodyPr/>
                  <a:lstStyle/>
                  <a:p>
                    <a:fld id="{C4DD81A1-CD6C-4677-9474-1A6B4F9F6A2C}"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B7D-4A64-A79B-3C9DE6B47E49}"/>
                </c:ext>
              </c:extLst>
            </c:dLbl>
            <c:dLbl>
              <c:idx val="34"/>
              <c:layout>
                <c:manualLayout>
                  <c:x val="-2.7485000778580994E-2"/>
                  <c:y val="-5.2407068860450948E-2"/>
                </c:manualLayout>
              </c:layout>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0B7D-4A64-A79B-3C9DE6B47E49}"/>
                </c:ext>
              </c:extLst>
            </c:dLbl>
            <c:numFmt formatCode="#,##0.00\ &quot;€/m3&quot;" sourceLinked="0"/>
            <c:spPr>
              <a:noFill/>
              <a:ln>
                <a:noFill/>
              </a:ln>
              <a:effectLst/>
            </c:spPr>
            <c:txPr>
              <a:bodyPr wrap="square" lIns="38100" tIns="19050" rIns="38100" bIns="19050" anchor="ctr">
                <a:spAutoFit/>
              </a:bodyPr>
              <a:lstStyle/>
              <a:p>
                <a:pPr>
                  <a:defRPr sz="1200" b="0">
                    <a:latin typeface="Poppins" panose="00000500000000000000" pitchFamily="2" charset="0"/>
                    <a:cs typeface="Poppins" panose="00000500000000000000" pitchFamily="2" charset="0"/>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strRef>
              <c:f>[1]Reuse_FinLCC_ReclaReuse!$B$44:$B$73</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xVal>
          <c:yVal>
            <c:numRef>
              <c:f>[1]Reuse_FinLCC_ReclaReuse!$AB$44:$AB$73</c:f>
              <c:numCache>
                <c:formatCode>General</c:formatCode>
                <c:ptCount val="30"/>
                <c:pt idx="4">
                  <c:v>2.5298617775555394</c:v>
                </c:pt>
                <c:pt idx="9">
                  <c:v>2.5376904982496065</c:v>
                </c:pt>
                <c:pt idx="14">
                  <c:v>2.5465287847654396</c:v>
                </c:pt>
                <c:pt idx="19">
                  <c:v>2.5565231011406317</c:v>
                </c:pt>
                <c:pt idx="24">
                  <c:v>2.455792342043333</c:v>
                </c:pt>
                <c:pt idx="29">
                  <c:v>2.400163666383778</c:v>
                </c:pt>
              </c:numCache>
            </c:numRef>
          </c:yVal>
          <c:smooth val="1"/>
          <c:extLst>
            <c:ext xmlns:c15="http://schemas.microsoft.com/office/drawing/2012/chart" uri="{02D57815-91ED-43cb-92C2-25804820EDAC}">
              <c15:datalabelsRange>
                <c15:f>[1]Reuse_FinLCC_ReclaReuse!$AC$44:$AC$73</c15:f>
                <c15:dlblRangeCache>
                  <c:ptCount val="30"/>
                  <c:pt idx="0">
                    <c:v>#RIF!</c:v>
                  </c:pt>
                  <c:pt idx="1">
                    <c:v>#RIF!</c:v>
                  </c:pt>
                  <c:pt idx="2">
                    <c:v>#RIF!</c:v>
                  </c:pt>
                  <c:pt idx="3">
                    <c:v>#RIF!</c:v>
                  </c:pt>
                  <c:pt idx="4">
                    <c:v>2,53 €/m³</c:v>
                  </c:pt>
                  <c:pt idx="5">
                    <c:v>#RIF!</c:v>
                  </c:pt>
                  <c:pt idx="6">
                    <c:v>#RIF!</c:v>
                  </c:pt>
                  <c:pt idx="7">
                    <c:v>#RIF!</c:v>
                  </c:pt>
                  <c:pt idx="8">
                    <c:v>#RIF!</c:v>
                  </c:pt>
                  <c:pt idx="9">
                    <c:v>2,54 €/m³</c:v>
                  </c:pt>
                  <c:pt idx="10">
                    <c:v>#RIF!</c:v>
                  </c:pt>
                  <c:pt idx="11">
                    <c:v>#RIF!</c:v>
                  </c:pt>
                  <c:pt idx="12">
                    <c:v>#RIF!</c:v>
                  </c:pt>
                  <c:pt idx="13">
                    <c:v>#RIF!</c:v>
                  </c:pt>
                  <c:pt idx="14">
                    <c:v>2,55 €/m³</c:v>
                  </c:pt>
                  <c:pt idx="15">
                    <c:v>#RIF!</c:v>
                  </c:pt>
                  <c:pt idx="16">
                    <c:v>#RIF!</c:v>
                  </c:pt>
                  <c:pt idx="17">
                    <c:v>#RIF!</c:v>
                  </c:pt>
                  <c:pt idx="18">
                    <c:v>#RIF!</c:v>
                  </c:pt>
                  <c:pt idx="19">
                    <c:v>2,56 €/m³</c:v>
                  </c:pt>
                  <c:pt idx="20">
                    <c:v>#RIF!</c:v>
                  </c:pt>
                  <c:pt idx="21">
                    <c:v>#RIF!</c:v>
                  </c:pt>
                  <c:pt idx="22">
                    <c:v>#RIF!</c:v>
                  </c:pt>
                  <c:pt idx="23">
                    <c:v>#RIF!</c:v>
                  </c:pt>
                  <c:pt idx="24">
                    <c:v>2,46 €/m³</c:v>
                  </c:pt>
                  <c:pt idx="25">
                    <c:v>#RIF!</c:v>
                  </c:pt>
                  <c:pt idx="26">
                    <c:v>#RIF!</c:v>
                  </c:pt>
                  <c:pt idx="27">
                    <c:v>#RIF!</c:v>
                  </c:pt>
                  <c:pt idx="28">
                    <c:v>#RIF!</c:v>
                  </c:pt>
                  <c:pt idx="29">
                    <c:v>2,40 €/m³</c:v>
                  </c:pt>
                </c15:dlblRangeCache>
              </c15:datalabelsRange>
            </c:ext>
            <c:ext xmlns:c16="http://schemas.microsoft.com/office/drawing/2014/chart" uri="{C3380CC4-5D6E-409C-BE32-E72D297353CC}">
              <c16:uniqueId val="{00000020-0B7D-4A64-A79B-3C9DE6B47E49}"/>
            </c:ext>
          </c:extLst>
        </c:ser>
        <c:dLbls>
          <c:showLegendKey val="0"/>
          <c:showVal val="0"/>
          <c:showCatName val="0"/>
          <c:showSerName val="0"/>
          <c:showPercent val="0"/>
          <c:showBubbleSize val="0"/>
        </c:dLbls>
        <c:axId val="1007126672"/>
        <c:axId val="1007129584"/>
      </c:scatterChart>
      <c:valAx>
        <c:axId val="1007126672"/>
        <c:scaling>
          <c:orientation val="minMax"/>
          <c:max val="30"/>
        </c:scaling>
        <c:delete val="0"/>
        <c:axPos val="t"/>
        <c:majorGridlines>
          <c:spPr>
            <a:ln w="9525" cap="flat" cmpd="sng" algn="ctr">
              <a:solidFill>
                <a:schemeClr val="tx1">
                  <a:lumMod val="15000"/>
                  <a:lumOff val="85000"/>
                </a:schemeClr>
              </a:solidFill>
              <a:round/>
            </a:ln>
            <a:effectLst/>
          </c:spPr>
        </c:majorGridlines>
        <c:title>
          <c:tx>
            <c:rich>
              <a:bodyPr/>
              <a:lstStyle/>
              <a:p>
                <a:pPr>
                  <a:defRPr sz="1200" b="0">
                    <a:latin typeface="Poppins" panose="00000500000000000000" pitchFamily="2" charset="0"/>
                    <a:cs typeface="Poppins" panose="00000500000000000000" pitchFamily="2" charset="0"/>
                  </a:defRPr>
                </a:pPr>
                <a:r>
                  <a:rPr lang="fr-FR" sz="1200" b="0">
                    <a:latin typeface="Poppins" panose="00000500000000000000" pitchFamily="2" charset="0"/>
                    <a:cs typeface="Poppins" panose="00000500000000000000" pitchFamily="2" charset="0"/>
                  </a:rPr>
                  <a:t>Operation length</a:t>
                </a:r>
              </a:p>
            </c:rich>
          </c:tx>
          <c:layout>
            <c:manualLayout>
              <c:xMode val="edge"/>
              <c:yMode val="edge"/>
              <c:x val="0.59567026386566391"/>
              <c:y val="2.4622939778908282E-2"/>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007129584"/>
        <c:crosses val="max"/>
        <c:crossBetween val="midCat"/>
        <c:majorUnit val="1"/>
      </c:valAx>
      <c:valAx>
        <c:axId val="1007129584"/>
        <c:scaling>
          <c:logBase val="4"/>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200" b="0">
                    <a:latin typeface="Poppins" panose="00000500000000000000" pitchFamily="2" charset="0"/>
                    <a:cs typeface="Poppins" panose="00000500000000000000" pitchFamily="2" charset="0"/>
                  </a:defRPr>
                </a:pPr>
                <a:r>
                  <a:rPr lang="fr-FR" sz="1200" b="0">
                    <a:latin typeface="Poppins" panose="00000500000000000000" pitchFamily="2" charset="0"/>
                    <a:cs typeface="Poppins" panose="00000500000000000000" pitchFamily="2" charset="0"/>
                  </a:rPr>
                  <a:t>Price cost</a:t>
                </a:r>
                <a:r>
                  <a:rPr lang="fr-FR" sz="1200" b="0" baseline="0">
                    <a:latin typeface="Poppins" panose="00000500000000000000" pitchFamily="2" charset="0"/>
                    <a:cs typeface="Poppins" panose="00000500000000000000" pitchFamily="2" charset="0"/>
                  </a:rPr>
                  <a:t> of water (</a:t>
                </a:r>
                <a:r>
                  <a:rPr lang="en-US" sz="1200" b="0" i="0" u="none" strike="noStrike" baseline="0">
                    <a:effectLst/>
                  </a:rPr>
                  <a:t>€/m</a:t>
                </a:r>
                <a:r>
                  <a:rPr lang="en-US" sz="1200" b="0" i="0" u="none" strike="noStrike" baseline="30000">
                    <a:effectLst/>
                  </a:rPr>
                  <a:t>3</a:t>
                </a:r>
                <a:r>
                  <a:rPr lang="en-US" sz="1200" b="0" i="0" u="none" strike="noStrike" baseline="0">
                    <a:effectLst/>
                  </a:rPr>
                  <a:t>)</a:t>
                </a:r>
                <a:endParaRPr lang="fr-FR" sz="1200" b="0">
                  <a:latin typeface="Poppins" panose="00000500000000000000" pitchFamily="2" charset="0"/>
                  <a:cs typeface="Poppins" panose="00000500000000000000" pitchFamily="2" charset="0"/>
                </a:endParaRPr>
              </a:p>
            </c:rich>
          </c:tx>
          <c:overlay val="0"/>
        </c:title>
        <c:numFmt formatCode="#,##0\ &quot;€&quot;"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007126672"/>
        <c:crossesAt val="0"/>
        <c:crossBetween val="midCat"/>
      </c:valAx>
    </c:plotArea>
    <c:plotVisOnly val="1"/>
    <c:dispBlanksAs val="gap"/>
    <c:showDLblsOverMax val="0"/>
    <c:extLst/>
  </c:chart>
  <c:spPr>
    <a:ln>
      <a:solidFill>
        <a:srgbClr val="2F3C4D"/>
      </a:solidFill>
    </a:ln>
  </c:spPr>
  <c:txPr>
    <a:bodyPr/>
    <a:lstStyle/>
    <a:p>
      <a:pPr>
        <a:defRPr/>
      </a:pPr>
      <a:endParaRPr lang="fr-FR"/>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[1]Noreuse_FinLCC_Irrigation!$B$3</c:f>
          <c:strCache>
            <c:ptCount val="1"/>
            <c:pt idx="0">
              <c:v>Price cost for individual irrigation and fertilisation - Operation of 30 years (128 000 m³/year)</c:v>
            </c:pt>
          </c:strCache>
        </c:strRef>
      </c:tx>
      <c:layout>
        <c:manualLayout>
          <c:xMode val="edge"/>
          <c:yMode val="edge"/>
          <c:x val="8.4785534579406671E-2"/>
          <c:y val="1.7342341727234811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chemeClr val="tx1"/>
              </a:solidFill>
              <a:latin typeface="Poppins" panose="00000500000000000000" pitchFamily="2" charset="0"/>
              <a:ea typeface="+mn-ea"/>
              <a:cs typeface="Poppins" panose="00000500000000000000" pitchFamily="2" charset="0"/>
            </a:defRPr>
          </a:pPr>
          <a:endParaRPr lang="fr-FR"/>
        </a:p>
      </c:txPr>
    </c:title>
    <c:autoTitleDeleted val="0"/>
    <c:plotArea>
      <c:layout>
        <c:manualLayout>
          <c:layoutTarget val="inner"/>
          <c:xMode val="edge"/>
          <c:yMode val="edge"/>
          <c:x val="0.11416291714022278"/>
          <c:y val="0.21517135459824016"/>
          <c:w val="0.86167058485692971"/>
          <c:h val="0.58796346640969221"/>
        </c:manualLayout>
      </c:layout>
      <c:barChart>
        <c:barDir val="col"/>
        <c:grouping val="percentStacked"/>
        <c:varyColors val="0"/>
        <c:ser>
          <c:idx val="0"/>
          <c:order val="0"/>
          <c:tx>
            <c:strRef>
              <c:f>[1]Noreuse_FinLCC_Irrigation!$E$6</c:f>
              <c:strCache>
                <c:ptCount val="1"/>
                <c:pt idx="0">
                  <c:v>Distribution</c:v>
                </c:pt>
              </c:strCache>
            </c:strRef>
          </c:tx>
          <c:spPr>
            <a:solidFill>
              <a:srgbClr val="94358A"/>
            </a:solidFill>
            <a:ln>
              <a:noFill/>
            </a:ln>
            <a:effectLst/>
          </c:spPr>
          <c:invertIfNegative val="0"/>
          <c:dLbls>
            <c:dLbl>
              <c:idx val="0"/>
              <c:tx>
                <c:rich>
                  <a:bodyPr/>
                  <a:lstStyle/>
                  <a:p>
                    <a:fld id="{F66EEB7C-DB4E-4F12-9266-6468C37916EC}" type="CELLRANGE">
                      <a:rPr lang="en-US"/>
                      <a:pPr/>
                      <a:t>[]</a:t>
                    </a:fld>
                    <a:endParaRPr lang="en-US" baseline="0"/>
                  </a:p>
                  <a:p>
                    <a:fld id="{168DD61E-8F32-4134-B3BF-D63AC037E985}" type="VALUE">
                      <a:rPr lang="en-US"/>
                      <a:pPr/>
                      <a:t>[]</a:t>
                    </a:fld>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37BA-4495-850A-D07972875833}"/>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[1]Noreuse_FinLCC_Irrigation!$B$7</c:f>
              <c:strCache>
                <c:ptCount val="1"/>
                <c:pt idx="0">
                  <c:v>Without any subsidises</c:v>
                </c:pt>
              </c:strCache>
            </c:strRef>
          </c:cat>
          <c:val>
            <c:numRef>
              <c:f>[1]Noreuse_FinLCC_Irrigation!$E$7</c:f>
              <c:numCache>
                <c:formatCode>General</c:formatCode>
                <c:ptCount val="1"/>
                <c:pt idx="0">
                  <c:v>0.50692096893434613</c:v>
                </c:pt>
              </c:numCache>
            </c:numRef>
          </c:val>
          <c:extLst>
            <c:ext xmlns:c15="http://schemas.microsoft.com/office/drawing/2012/chart" uri="{02D57815-91ED-43cb-92C2-25804820EDAC}">
              <c15:datalabelsRange>
                <c15:f>[1]Noreuse_FinLCC_Irrigation!$E$9</c15:f>
                <c15:dlblRangeCache>
                  <c:ptCount val="1"/>
                  <c:pt idx="0">
                    <c:v>1</c:v>
                  </c:pt>
                </c15:dlblRangeCache>
              </c15:datalabelsRange>
            </c:ext>
            <c:ext xmlns:c16="http://schemas.microsoft.com/office/drawing/2014/chart" uri="{C3380CC4-5D6E-409C-BE32-E72D297353CC}">
              <c16:uniqueId val="{00000001-37BA-4495-850A-D07972875833}"/>
            </c:ext>
          </c:extLst>
        </c:ser>
        <c:ser>
          <c:idx val="1"/>
          <c:order val="1"/>
          <c:tx>
            <c:strRef>
              <c:f>[1]Noreuse_FinLCC_Irrigation!$F$6</c:f>
              <c:strCache>
                <c:ptCount val="1"/>
                <c:pt idx="0">
                  <c:v>#RIF!</c:v>
                </c:pt>
              </c:strCache>
            </c:strRef>
          </c:tx>
          <c:spPr>
            <a:solidFill>
              <a:srgbClr val="FAB900"/>
            </a:solidFill>
            <a:ln>
              <a:noFill/>
            </a:ln>
            <a:effectLst/>
          </c:spPr>
          <c:invertIfNegative val="0"/>
          <c:dLbls>
            <c:dLbl>
              <c:idx val="0"/>
              <c:layout>
                <c:manualLayout>
                  <c:x val="-2.0138515693854376E-17"/>
                  <c:y val="-7.0086501643309004E-3"/>
                </c:manualLayout>
              </c:layout>
              <c:tx>
                <c:rich>
                  <a:bodyPr/>
                  <a:lstStyle/>
                  <a:p>
                    <a:fld id="{DEE9D4C0-D5F7-4540-895A-0A1DC550FA6B}" type="CELLRANGE">
                      <a:rPr lang="en-US" b="1" baseline="0">
                        <a:solidFill>
                          <a:schemeClr val="bg1"/>
                        </a:solidFill>
                      </a:rPr>
                      <a:pPr/>
                      <a:t>[]</a:t>
                    </a:fld>
                    <a:endParaRPr lang="en-US" b="1" baseline="0">
                      <a:solidFill>
                        <a:schemeClr val="bg1"/>
                      </a:solidFill>
                    </a:endParaRPr>
                  </a:p>
                  <a:p>
                    <a:fld id="{E983514B-8BAC-4FA9-9872-BBA8EFE69777}" type="VALUE">
                      <a:rPr lang="en-US" b="1" baseline="0">
                        <a:solidFill>
                          <a:schemeClr val="bg1"/>
                        </a:solidFill>
                      </a:rPr>
                      <a:pPr/>
                      <a:t>[]</a:t>
                    </a:fld>
                    <a:endParaRP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37BA-4495-850A-D07972875833}"/>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Poppins" panose="00000500000000000000" pitchFamily="2" charset="0"/>
                    <a:ea typeface="+mn-ea"/>
                    <a:cs typeface="Poppins" panose="00000500000000000000" pitchFamily="2" charset="0"/>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[1]Noreuse_FinLCC_Irrigation!$B$7</c:f>
              <c:strCache>
                <c:ptCount val="1"/>
                <c:pt idx="0">
                  <c:v>Without any subsidises</c:v>
                </c:pt>
              </c:strCache>
            </c:strRef>
          </c:cat>
          <c:val>
            <c:numRef>
              <c:f>[1]Noreuse_FinLCC_Irrigation!$F$7</c:f>
              <c:numCache>
                <c:formatCode>General</c:formatCode>
                <c:ptCount val="1"/>
              </c:numCache>
            </c:numRef>
          </c:val>
          <c:extLst>
            <c:ext xmlns:c15="http://schemas.microsoft.com/office/drawing/2012/chart" uri="{02D57815-91ED-43cb-92C2-25804820EDAC}">
              <c15:datalabelsRange>
                <c15:f>[1]Noreuse_FinLCC_Irrigation!$F$9</c15:f>
                <c15:dlblRangeCache>
                  <c:ptCount val="1"/>
                  <c:pt idx="0">
                    <c:v>#RIF!</c:v>
                  </c:pt>
                </c15:dlblRangeCache>
              </c15:datalabelsRange>
            </c:ext>
            <c:ext xmlns:c16="http://schemas.microsoft.com/office/drawing/2014/chart" uri="{C3380CC4-5D6E-409C-BE32-E72D297353CC}">
              <c16:uniqueId val="{00000003-37BA-4495-850A-D07972875833}"/>
            </c:ext>
          </c:extLst>
        </c:ser>
        <c:dLbls>
          <c:dLblPos val="ctr"/>
          <c:showLegendKey val="0"/>
          <c:showVal val="1"/>
          <c:showCatName val="0"/>
          <c:showSerName val="0"/>
          <c:showPercent val="0"/>
          <c:showBubbleSize val="0"/>
        </c:dLbls>
        <c:gapWidth val="10"/>
        <c:overlap val="100"/>
        <c:axId val="1716020671"/>
        <c:axId val="1716021919"/>
      </c:barChart>
      <c:catAx>
        <c:axId val="1716020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716021919"/>
        <c:crosses val="autoZero"/>
        <c:auto val="1"/>
        <c:lblAlgn val="ctr"/>
        <c:lblOffset val="100"/>
        <c:noMultiLvlLbl val="0"/>
      </c:catAx>
      <c:valAx>
        <c:axId val="1716021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a:latin typeface="Poppins" panose="00000500000000000000" pitchFamily="2" charset="0"/>
                    <a:cs typeface="Poppins" panose="00000500000000000000" pitchFamily="2" charset="0"/>
                  </a:rPr>
                  <a:t>Price  cost distribution per facility</a:t>
                </a:r>
              </a:p>
            </c:rich>
          </c:tx>
          <c:layout>
            <c:manualLayout>
              <c:xMode val="edge"/>
              <c:yMode val="edge"/>
              <c:x val="2.7552873590755709E-3"/>
              <c:y val="0.211581927016431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716020671"/>
        <c:crosses val="autoZero"/>
        <c:crossBetween val="between"/>
      </c:valAx>
      <c:spPr>
        <a:noFill/>
        <a:ln>
          <a:noFill/>
        </a:ln>
        <a:effectLst/>
      </c:spPr>
    </c:plotArea>
    <c:legend>
      <c:legendPos val="b"/>
      <c:legendEntry>
        <c:idx val="1"/>
        <c:delete val="1"/>
      </c:legendEntry>
      <c:layout>
        <c:manualLayout>
          <c:xMode val="edge"/>
          <c:yMode val="edge"/>
          <c:x val="9.2353214905383924E-2"/>
          <c:y val="0.91199768313338669"/>
          <c:w val="0.90097461739261286"/>
          <c:h val="6.68455510017815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2F3C4D"/>
      </a:solidFill>
      <a:round/>
    </a:ln>
    <a:effectLst/>
  </c:spPr>
  <c:txPr>
    <a:bodyPr/>
    <a:lstStyle/>
    <a:p>
      <a:pPr>
        <a:defRPr/>
      </a:pPr>
      <a:endParaRPr lang="fr-FR"/>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Poppins" panose="00000500000000000000" pitchFamily="2" charset="0"/>
                <a:ea typeface="+mn-ea"/>
                <a:cs typeface="Poppins" panose="00000500000000000000" pitchFamily="2" charset="0"/>
              </a:defRPr>
            </a:pPr>
            <a:r>
              <a:rPr lang="fr-FR" sz="1600" b="1">
                <a:solidFill>
                  <a:schemeClr val="tx1"/>
                </a:solidFill>
                <a:latin typeface="Poppins" panose="00000500000000000000" pitchFamily="2" charset="0"/>
                <a:cs typeface="Poppins" panose="00000500000000000000" pitchFamily="2" charset="0"/>
              </a:rPr>
              <a:t>Price cost</a:t>
            </a:r>
            <a:r>
              <a:rPr lang="fr-FR" sz="1600" b="1" baseline="0">
                <a:solidFill>
                  <a:schemeClr val="tx1"/>
                </a:solidFill>
                <a:latin typeface="Poppins" panose="00000500000000000000" pitchFamily="2" charset="0"/>
                <a:cs typeface="Poppins" panose="00000500000000000000" pitchFamily="2" charset="0"/>
              </a:rPr>
              <a:t> (no subsidises) of reused water (from entrance of WWTP to irrigation dripper)</a:t>
            </a:r>
            <a:endParaRPr lang="fr-FR" sz="1600" b="1">
              <a:solidFill>
                <a:schemeClr val="tx1"/>
              </a:solidFill>
              <a:latin typeface="Poppins" panose="00000500000000000000" pitchFamily="2" charset="0"/>
              <a:cs typeface="Poppins" panose="00000500000000000000" pitchFamily="2" charset="0"/>
            </a:endParaRPr>
          </a:p>
        </c:rich>
      </c:tx>
      <c:layout>
        <c:manualLayout>
          <c:xMode val="edge"/>
          <c:yMode val="edge"/>
          <c:x val="1.866787194092456E-2"/>
          <c:y val="0"/>
        </c:manualLayout>
      </c:layout>
      <c:overlay val="0"/>
      <c:spPr>
        <a:noFill/>
        <a:ln>
          <a:noFill/>
        </a:ln>
        <a:effectLst/>
      </c:spPr>
    </c:title>
    <c:autoTitleDeleted val="0"/>
    <c:plotArea>
      <c:layout>
        <c:manualLayout>
          <c:layoutTarget val="inner"/>
          <c:xMode val="edge"/>
          <c:yMode val="edge"/>
          <c:x val="3.6957205153919814E-2"/>
          <c:y val="0.14600853138330286"/>
          <c:w val="0.94852145335661475"/>
          <c:h val="0.8253503960999391"/>
        </c:manualLayout>
      </c:layout>
      <c:scatterChart>
        <c:scatterStyle val="smoothMarker"/>
        <c:varyColors val="0"/>
        <c:ser>
          <c:idx val="1"/>
          <c:order val="0"/>
          <c:tx>
            <c:strRef>
              <c:f>[1]Noreuse_FinLCC_Irrigation!$B$39</c:f>
              <c:strCache>
                <c:ptCount val="1"/>
                <c:pt idx="0">
                  <c:v>COUT DE REVIENT SANS SUBVENTION</c:v>
                </c:pt>
              </c:strCache>
            </c:strRef>
          </c:tx>
          <c:spPr>
            <a:ln w="38100">
              <a:solidFill>
                <a:srgbClr val="94358A"/>
              </a:solidFill>
            </a:ln>
          </c:spPr>
          <c:marker>
            <c:symbol val="none"/>
          </c:marker>
          <c:xVal>
            <c:strRef>
              <c:f>[1]Noreuse_FinLCC_Irrigation!$B$44:$B$73</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xVal>
          <c:yVal>
            <c:numRef>
              <c:f>[1]Noreuse_FinLCC_Irrigation!$S$44:$S$73</c:f>
              <c:numCache>
                <c:formatCode>General</c:formatCode>
                <c:ptCount val="30"/>
                <c:pt idx="0">
                  <c:v>0.58305580911591615</c:v>
                </c:pt>
                <c:pt idx="1">
                  <c:v>0.58404706686591623</c:v>
                </c:pt>
                <c:pt idx="2">
                  <c:v>0.58506211480191617</c:v>
                </c:pt>
                <c:pt idx="3">
                  <c:v>0.58610159525893823</c:v>
                </c:pt>
                <c:pt idx="4">
                  <c:v>0.58716616907125285</c:v>
                </c:pt>
                <c:pt idx="5">
                  <c:v>0.58825651612735674</c:v>
                </c:pt>
                <c:pt idx="6">
                  <c:v>0.58937333594207553</c:v>
                </c:pt>
                <c:pt idx="7">
                  <c:v>0.59051734824632951</c:v>
                </c:pt>
                <c:pt idx="8">
                  <c:v>0.59168929359512357</c:v>
                </c:pt>
                <c:pt idx="9">
                  <c:v>0.5928899339943291</c:v>
                </c:pt>
                <c:pt idx="10">
                  <c:v>0.59412005354685793</c:v>
                </c:pt>
                <c:pt idx="11">
                  <c:v>0.59538045911883375</c:v>
                </c:pt>
                <c:pt idx="12">
                  <c:v>0.59667198102639862</c:v>
                </c:pt>
                <c:pt idx="13">
                  <c:v>0.59799547374380035</c:v>
                </c:pt>
                <c:pt idx="14">
                  <c:v>0.59935181663343828</c:v>
                </c:pt>
                <c:pt idx="15">
                  <c:v>0.60074191469855953</c:v>
                </c:pt>
                <c:pt idx="16">
                  <c:v>0.60216669935932188</c:v>
                </c:pt>
                <c:pt idx="17">
                  <c:v>0.60362712925296391</c:v>
                </c:pt>
                <c:pt idx="18">
                  <c:v>0.60512419105884596</c:v>
                </c:pt>
                <c:pt idx="19">
                  <c:v>0.60665890034914771</c:v>
                </c:pt>
                <c:pt idx="20">
                  <c:v>0.59146065084147059</c:v>
                </c:pt>
                <c:pt idx="21">
                  <c:v>0.57782686577925335</c:v>
                </c:pt>
                <c:pt idx="22">
                  <c:v>0.56555977944683844</c:v>
                </c:pt>
                <c:pt idx="23">
                  <c:v>0.55449480425399189</c:v>
                </c:pt>
                <c:pt idx="24">
                  <c:v>0.54449390261631181</c:v>
                </c:pt>
                <c:pt idx="25">
                  <c:v>0.53544048866150062</c:v>
                </c:pt>
                <c:pt idx="26">
                  <c:v>0.52723546314898961</c:v>
                </c:pt>
                <c:pt idx="27">
                  <c:v>0.51979409830857415</c:v>
                </c:pt>
                <c:pt idx="28">
                  <c:v>0.51304356745419522</c:v>
                </c:pt>
                <c:pt idx="29">
                  <c:v>0.50692096893434613</c:v>
                </c:pt>
              </c:numCache>
            </c:numRef>
          </c:yVal>
          <c:smooth val="1"/>
          <c:extLst>
            <c:ext xmlns:c16="http://schemas.microsoft.com/office/drawing/2014/chart" uri="{C3380CC4-5D6E-409C-BE32-E72D297353CC}">
              <c16:uniqueId val="{00000000-6A12-4F71-89CA-22CB68645735}"/>
            </c:ext>
          </c:extLst>
        </c:ser>
        <c:ser>
          <c:idx val="2"/>
          <c:order val="1"/>
          <c:tx>
            <c:strRef>
              <c:f>[1]Noreuse_FinLCC_Irrigation!$B$39</c:f>
              <c:strCache>
                <c:ptCount val="1"/>
                <c:pt idx="0">
                  <c:v>COUT DE REVIENT SANS SUBVENTION</c:v>
                </c:pt>
              </c:strCache>
            </c:strRef>
          </c:tx>
          <c:spPr>
            <a:ln>
              <a:noFill/>
            </a:ln>
          </c:spPr>
          <c:marker>
            <c:symbol val="circle"/>
            <c:size val="12"/>
            <c:spPr>
              <a:solidFill>
                <a:srgbClr val="94358A"/>
              </a:solidFill>
              <a:ln>
                <a:solidFill>
                  <a:srgbClr val="94358A"/>
                </a:solidFill>
              </a:ln>
            </c:spPr>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A12-4F71-89CA-22CB6864573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A12-4F71-89CA-22CB6864573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A12-4F71-89CA-22CB6864573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A12-4F71-89CA-22CB68645735}"/>
                </c:ext>
              </c:extLst>
            </c:dLbl>
            <c:dLbl>
              <c:idx val="4"/>
              <c:tx>
                <c:rich>
                  <a:bodyPr/>
                  <a:lstStyle/>
                  <a:p>
                    <a:fld id="{40760533-6A9B-4097-8D60-5AC9C3782967}"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12-4F71-89CA-22CB6864573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A12-4F71-89CA-22CB6864573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A12-4F71-89CA-22CB68645735}"/>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A12-4F71-89CA-22CB68645735}"/>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A12-4F71-89CA-22CB68645735}"/>
                </c:ext>
              </c:extLst>
            </c:dLbl>
            <c:dLbl>
              <c:idx val="9"/>
              <c:tx>
                <c:rich>
                  <a:bodyPr/>
                  <a:lstStyle/>
                  <a:p>
                    <a:fld id="{6679D234-FFFF-45B8-8E5F-11F1E4317FFC}"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12-4F71-89CA-22CB68645735}"/>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A12-4F71-89CA-22CB68645735}"/>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A12-4F71-89CA-22CB68645735}"/>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A12-4F71-89CA-22CB68645735}"/>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A12-4F71-89CA-22CB68645735}"/>
                </c:ext>
              </c:extLst>
            </c:dLbl>
            <c:dLbl>
              <c:idx val="14"/>
              <c:tx>
                <c:rich>
                  <a:bodyPr/>
                  <a:lstStyle/>
                  <a:p>
                    <a:fld id="{F411F80B-6C6B-4D60-84FA-A21376F1F772}"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12-4F71-89CA-22CB68645735}"/>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A12-4F71-89CA-22CB68645735}"/>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A12-4F71-89CA-22CB68645735}"/>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A12-4F71-89CA-22CB68645735}"/>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A12-4F71-89CA-22CB68645735}"/>
                </c:ext>
              </c:extLst>
            </c:dLbl>
            <c:dLbl>
              <c:idx val="19"/>
              <c:tx>
                <c:rich>
                  <a:bodyPr/>
                  <a:lstStyle/>
                  <a:p>
                    <a:fld id="{3F4005A7-0F66-4B03-8C03-269BF7C5A07E}"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A12-4F71-89CA-22CB68645735}"/>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A12-4F71-89CA-22CB68645735}"/>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A12-4F71-89CA-22CB68645735}"/>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A12-4F71-89CA-22CB68645735}"/>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A12-4F71-89CA-22CB68645735}"/>
                </c:ext>
              </c:extLst>
            </c:dLbl>
            <c:dLbl>
              <c:idx val="24"/>
              <c:tx>
                <c:rich>
                  <a:bodyPr/>
                  <a:lstStyle/>
                  <a:p>
                    <a:fld id="{F7CD3F58-8F3B-4813-8BEB-953FE6D03A70}"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A12-4F71-89CA-22CB68645735}"/>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A12-4F71-89CA-22CB68645735}"/>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A12-4F71-89CA-22CB68645735}"/>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A12-4F71-89CA-22CB68645735}"/>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A12-4F71-89CA-22CB68645735}"/>
                </c:ext>
              </c:extLst>
            </c:dLbl>
            <c:dLbl>
              <c:idx val="29"/>
              <c:tx>
                <c:rich>
                  <a:bodyPr/>
                  <a:lstStyle/>
                  <a:p>
                    <a:fld id="{24EE1295-4292-4EF6-A4D6-26C1F5AA46AB}"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A12-4F71-89CA-22CB68645735}"/>
                </c:ext>
              </c:extLst>
            </c:dLbl>
            <c:dLbl>
              <c:idx val="34"/>
              <c:layout>
                <c:manualLayout>
                  <c:x val="-2.7485000778580994E-2"/>
                  <c:y val="-5.2407068860450948E-2"/>
                </c:manualLayout>
              </c:layout>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6A12-4F71-89CA-22CB68645735}"/>
                </c:ext>
              </c:extLst>
            </c:dLbl>
            <c:numFmt formatCode="#,##0.00\ &quot;€/m3&quot;" sourceLinked="0"/>
            <c:spPr>
              <a:noFill/>
              <a:ln>
                <a:noFill/>
              </a:ln>
              <a:effectLst/>
            </c:spPr>
            <c:txPr>
              <a:bodyPr wrap="square" lIns="38100" tIns="19050" rIns="38100" bIns="19050" anchor="ctr">
                <a:spAutoFit/>
              </a:bodyPr>
              <a:lstStyle/>
              <a:p>
                <a:pPr>
                  <a:defRPr sz="1200" b="0">
                    <a:latin typeface="Poppins" panose="00000500000000000000" pitchFamily="2" charset="0"/>
                    <a:cs typeface="Poppins" panose="00000500000000000000" pitchFamily="2" charset="0"/>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strRef>
              <c:f>[1]Noreuse_FinLCC_Irrigation!$B$44:$B$73</c:f>
              <c:strCach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strCache>
            </c:strRef>
          </c:xVal>
          <c:yVal>
            <c:numRef>
              <c:f>[1]Noreuse_FinLCC_Irrigation!$T$44:$T$73</c:f>
              <c:numCache>
                <c:formatCode>General</c:formatCode>
                <c:ptCount val="30"/>
                <c:pt idx="4">
                  <c:v>0.58716616907125285</c:v>
                </c:pt>
                <c:pt idx="9">
                  <c:v>0.5928899339943291</c:v>
                </c:pt>
                <c:pt idx="14">
                  <c:v>0.59935181663343828</c:v>
                </c:pt>
                <c:pt idx="19">
                  <c:v>0.60665890034914771</c:v>
                </c:pt>
                <c:pt idx="24">
                  <c:v>0.54449390261631181</c:v>
                </c:pt>
                <c:pt idx="29">
                  <c:v>0.50692096893434613</c:v>
                </c:pt>
              </c:numCache>
            </c:numRef>
          </c:yVal>
          <c:smooth val="1"/>
          <c:extLst>
            <c:ext xmlns:c15="http://schemas.microsoft.com/office/drawing/2012/chart" uri="{02D57815-91ED-43cb-92C2-25804820EDAC}">
              <c15:datalabelsRange>
                <c15:f>[1]Noreuse_FinLCC_Irrigation!$U$44:$U$73</c15:f>
                <c15:dlblRangeCache>
                  <c:ptCount val="30"/>
                  <c:pt idx="0">
                    <c:v>#RIF!</c:v>
                  </c:pt>
                  <c:pt idx="1">
                    <c:v>#RIF!</c:v>
                  </c:pt>
                  <c:pt idx="2">
                    <c:v>#RIF!</c:v>
                  </c:pt>
                  <c:pt idx="3">
                    <c:v>#RIF!</c:v>
                  </c:pt>
                  <c:pt idx="4">
                    <c:v>0,59 €/m³</c:v>
                  </c:pt>
                  <c:pt idx="5">
                    <c:v>#RIF!</c:v>
                  </c:pt>
                  <c:pt idx="6">
                    <c:v>#RIF!</c:v>
                  </c:pt>
                  <c:pt idx="7">
                    <c:v>#RIF!</c:v>
                  </c:pt>
                  <c:pt idx="8">
                    <c:v>#RIF!</c:v>
                  </c:pt>
                  <c:pt idx="9">
                    <c:v>0,59 €/m³</c:v>
                  </c:pt>
                  <c:pt idx="10">
                    <c:v>#RIF!</c:v>
                  </c:pt>
                  <c:pt idx="11">
                    <c:v>#RIF!</c:v>
                  </c:pt>
                  <c:pt idx="12">
                    <c:v>#RIF!</c:v>
                  </c:pt>
                  <c:pt idx="13">
                    <c:v>#RIF!</c:v>
                  </c:pt>
                  <c:pt idx="14">
                    <c:v>0,60 €/m³</c:v>
                  </c:pt>
                  <c:pt idx="15">
                    <c:v>#RIF!</c:v>
                  </c:pt>
                  <c:pt idx="16">
                    <c:v>#RIF!</c:v>
                  </c:pt>
                  <c:pt idx="17">
                    <c:v>#RIF!</c:v>
                  </c:pt>
                  <c:pt idx="18">
                    <c:v>#RIF!</c:v>
                  </c:pt>
                  <c:pt idx="19">
                    <c:v>0,61 €/m³</c:v>
                  </c:pt>
                  <c:pt idx="20">
                    <c:v>#RIF!</c:v>
                  </c:pt>
                  <c:pt idx="21">
                    <c:v>#RIF!</c:v>
                  </c:pt>
                  <c:pt idx="22">
                    <c:v>#RIF!</c:v>
                  </c:pt>
                  <c:pt idx="23">
                    <c:v>#RIF!</c:v>
                  </c:pt>
                  <c:pt idx="24">
                    <c:v>0,54 €/m³</c:v>
                  </c:pt>
                  <c:pt idx="25">
                    <c:v>#RIF!</c:v>
                  </c:pt>
                  <c:pt idx="26">
                    <c:v>#RIF!</c:v>
                  </c:pt>
                  <c:pt idx="27">
                    <c:v>#RIF!</c:v>
                  </c:pt>
                  <c:pt idx="28">
                    <c:v>#RIF!</c:v>
                  </c:pt>
                  <c:pt idx="29">
                    <c:v>0,51 €/m³</c:v>
                  </c:pt>
                </c15:dlblRangeCache>
              </c15:datalabelsRange>
            </c:ext>
            <c:ext xmlns:c16="http://schemas.microsoft.com/office/drawing/2014/chart" uri="{C3380CC4-5D6E-409C-BE32-E72D297353CC}">
              <c16:uniqueId val="{00000020-6A12-4F71-89CA-22CB68645735}"/>
            </c:ext>
          </c:extLst>
        </c:ser>
        <c:dLbls>
          <c:showLegendKey val="0"/>
          <c:showVal val="0"/>
          <c:showCatName val="0"/>
          <c:showSerName val="0"/>
          <c:showPercent val="0"/>
          <c:showBubbleSize val="0"/>
        </c:dLbls>
        <c:axId val="1007126672"/>
        <c:axId val="1007129584"/>
      </c:scatterChart>
      <c:valAx>
        <c:axId val="1007126672"/>
        <c:scaling>
          <c:orientation val="minMax"/>
          <c:max val="30"/>
        </c:scaling>
        <c:delete val="0"/>
        <c:axPos val="t"/>
        <c:majorGridlines>
          <c:spPr>
            <a:ln w="9525" cap="flat" cmpd="sng" algn="ctr">
              <a:solidFill>
                <a:schemeClr val="tx1">
                  <a:lumMod val="15000"/>
                  <a:lumOff val="85000"/>
                </a:schemeClr>
              </a:solidFill>
              <a:round/>
            </a:ln>
            <a:effectLst/>
          </c:spPr>
        </c:majorGridlines>
        <c:title>
          <c:tx>
            <c:rich>
              <a:bodyPr/>
              <a:lstStyle/>
              <a:p>
                <a:pPr>
                  <a:defRPr sz="1200" b="0">
                    <a:latin typeface="Poppins" panose="00000500000000000000" pitchFamily="2" charset="0"/>
                    <a:cs typeface="Poppins" panose="00000500000000000000" pitchFamily="2" charset="0"/>
                  </a:defRPr>
                </a:pPr>
                <a:r>
                  <a:rPr lang="fr-FR" sz="1200" b="0">
                    <a:latin typeface="Poppins" panose="00000500000000000000" pitchFamily="2" charset="0"/>
                    <a:cs typeface="Poppins" panose="00000500000000000000" pitchFamily="2" charset="0"/>
                  </a:rPr>
                  <a:t>Operation length</a:t>
                </a:r>
              </a:p>
            </c:rich>
          </c:tx>
          <c:layout>
            <c:manualLayout>
              <c:xMode val="edge"/>
              <c:yMode val="edge"/>
              <c:x val="0.59567026386566391"/>
              <c:y val="2.4622939778908282E-2"/>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007129584"/>
        <c:crosses val="max"/>
        <c:crossBetween val="midCat"/>
        <c:majorUnit val="1"/>
      </c:valAx>
      <c:valAx>
        <c:axId val="1007129584"/>
        <c:scaling>
          <c:logBase val="4"/>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200" b="0">
                    <a:latin typeface="Poppins" panose="00000500000000000000" pitchFamily="2" charset="0"/>
                    <a:cs typeface="Poppins" panose="00000500000000000000" pitchFamily="2" charset="0"/>
                  </a:defRPr>
                </a:pPr>
                <a:r>
                  <a:rPr lang="fr-FR" sz="1200" b="0">
                    <a:latin typeface="Poppins" panose="00000500000000000000" pitchFamily="2" charset="0"/>
                    <a:cs typeface="Poppins" panose="00000500000000000000" pitchFamily="2" charset="0"/>
                  </a:rPr>
                  <a:t>Price cost</a:t>
                </a:r>
                <a:r>
                  <a:rPr lang="fr-FR" sz="1200" b="0" baseline="0">
                    <a:latin typeface="Poppins" panose="00000500000000000000" pitchFamily="2" charset="0"/>
                    <a:cs typeface="Poppins" panose="00000500000000000000" pitchFamily="2" charset="0"/>
                  </a:rPr>
                  <a:t> of water (</a:t>
                </a:r>
                <a:r>
                  <a:rPr lang="en-US" sz="1200" b="0" i="0" u="none" strike="noStrike" baseline="0">
                    <a:effectLst/>
                  </a:rPr>
                  <a:t>€/m</a:t>
                </a:r>
                <a:r>
                  <a:rPr lang="en-US" sz="1200" b="0" i="0" u="none" strike="noStrike" baseline="30000">
                    <a:effectLst/>
                  </a:rPr>
                  <a:t>3</a:t>
                </a:r>
                <a:r>
                  <a:rPr lang="en-US" sz="1200" b="0" i="0" u="none" strike="noStrike" baseline="0">
                    <a:effectLst/>
                  </a:rPr>
                  <a:t>)</a:t>
                </a:r>
                <a:endParaRPr lang="fr-FR" sz="1200" b="0">
                  <a:latin typeface="Poppins" panose="00000500000000000000" pitchFamily="2" charset="0"/>
                  <a:cs typeface="Poppins" panose="00000500000000000000" pitchFamily="2" charset="0"/>
                </a:endParaRPr>
              </a:p>
            </c:rich>
          </c:tx>
          <c:overlay val="0"/>
        </c:title>
        <c:numFmt formatCode="#,##0\ &quot;€&quot;"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fr-FR"/>
          </a:p>
        </c:txPr>
        <c:crossAx val="1007126672"/>
        <c:crossesAt val="0"/>
        <c:crossBetween val="midCat"/>
      </c:valAx>
    </c:plotArea>
    <c:plotVisOnly val="1"/>
    <c:dispBlanksAs val="gap"/>
    <c:showDLblsOverMax val="0"/>
    <c:extLst/>
  </c:chart>
  <c:spPr>
    <a:ln>
      <a:solidFill>
        <a:srgbClr val="2F3C4D"/>
      </a:solidFill>
    </a:ln>
  </c:spPr>
  <c:txPr>
    <a:bodyPr/>
    <a:lstStyle/>
    <a:p>
      <a:pPr>
        <a:defRPr/>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r>
              <a:rPr lang="en-GB"/>
              <a:t>Uncertainty Analysis BAU&gt;= WR_1</a:t>
            </a:r>
          </a:p>
        </c:rich>
      </c:tx>
      <c:overlay val="0"/>
      <c:spPr>
        <a:noFill/>
        <a:ln>
          <a:noFill/>
        </a:ln>
        <a:effectLst/>
      </c:spPr>
    </c:title>
    <c:autoTitleDeleted val="0"/>
    <c:plotArea>
      <c:layout>
        <c:manualLayout>
          <c:layoutTarget val="inner"/>
          <c:xMode val="edge"/>
          <c:yMode val="edge"/>
          <c:x val="0.1651492482440913"/>
          <c:y val="0.14132681536071867"/>
          <c:w val="0.67858814389979571"/>
          <c:h val="0.70704133802232871"/>
        </c:manualLayout>
      </c:layout>
      <c:barChart>
        <c:barDir val="bar"/>
        <c:grouping val="stacked"/>
        <c:varyColors val="0"/>
        <c:ser>
          <c:idx val="0"/>
          <c:order val="0"/>
          <c:tx>
            <c:strRef>
              <c:f>'S19_Monte Carlo'!$B$1</c:f>
              <c:strCache>
                <c:ptCount val="1"/>
                <c:pt idx="0">
                  <c:v>BAU &gt;= WR_1</c:v>
                </c:pt>
              </c:strCache>
            </c:strRef>
          </c:tx>
          <c:spPr>
            <a:solidFill>
              <a:srgbClr val="800074"/>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[5]Sheet1!$A$2:$A$17</c:f>
              <c:strCache>
                <c:ptCount val="16"/>
                <c:pt idx="0">
                  <c:v>Acidification</c:v>
                </c:pt>
                <c:pt idx="1">
                  <c:v>Climate change</c:v>
                </c:pt>
                <c:pt idx="2">
                  <c:v>Ecotoxicity, freshwater</c:v>
                </c:pt>
                <c:pt idx="3">
                  <c:v>Eutrophication, freshwater</c:v>
                </c:pt>
                <c:pt idx="4">
                  <c:v>Eutrophication, marine</c:v>
                </c:pt>
                <c:pt idx="5">
                  <c:v>Eutrophication, terrestrial</c:v>
                </c:pt>
                <c:pt idx="6">
                  <c:v>Human toxicity, cancer</c:v>
                </c:pt>
                <c:pt idx="7">
                  <c:v>Human toxicity, non-cancer</c:v>
                </c:pt>
                <c:pt idx="8">
                  <c:v>Ionising radiation</c:v>
                </c:pt>
                <c:pt idx="9">
                  <c:v>Land use</c:v>
                </c:pt>
                <c:pt idx="10">
                  <c:v>Ozone depletion</c:v>
                </c:pt>
                <c:pt idx="11">
                  <c:v>Particulate matter</c:v>
                </c:pt>
                <c:pt idx="12">
                  <c:v>Photochemical ozone formation</c:v>
                </c:pt>
                <c:pt idx="13">
                  <c:v>Resource use, fossils</c:v>
                </c:pt>
                <c:pt idx="14">
                  <c:v>Resource use, minerals and metals</c:v>
                </c:pt>
                <c:pt idx="15">
                  <c:v>Water use</c:v>
                </c:pt>
              </c:strCache>
            </c:strRef>
          </c:cat>
          <c:val>
            <c:numRef>
              <c:f>'S19_Monte Carlo'!$B$2:$B$17</c:f>
              <c:numCache>
                <c:formatCode>0.00</c:formatCode>
                <c:ptCount val="16"/>
                <c:pt idx="0">
                  <c:v>0.96899999999999997</c:v>
                </c:pt>
                <c:pt idx="1">
                  <c:v>0.90300000000000002</c:v>
                </c:pt>
                <c:pt idx="2">
                  <c:v>0.59099999999999997</c:v>
                </c:pt>
                <c:pt idx="3">
                  <c:v>0.99299999999999999</c:v>
                </c:pt>
                <c:pt idx="4">
                  <c:v>0.88100000000000001</c:v>
                </c:pt>
                <c:pt idx="5">
                  <c:v>0.94499999999999995</c:v>
                </c:pt>
                <c:pt idx="6">
                  <c:v>0.51</c:v>
                </c:pt>
                <c:pt idx="7">
                  <c:v>0.59299999999999997</c:v>
                </c:pt>
                <c:pt idx="8">
                  <c:v>1</c:v>
                </c:pt>
                <c:pt idx="9">
                  <c:v>0.50900000000000001</c:v>
                </c:pt>
                <c:pt idx="10">
                  <c:v>0.71599999999999997</c:v>
                </c:pt>
                <c:pt idx="11">
                  <c:v>0.995</c:v>
                </c:pt>
                <c:pt idx="12">
                  <c:v>0.77600000000000002</c:v>
                </c:pt>
                <c:pt idx="13">
                  <c:v>0.94299999999999995</c:v>
                </c:pt>
                <c:pt idx="14">
                  <c:v>0.98799999999999999</c:v>
                </c:pt>
                <c:pt idx="15">
                  <c:v>0.78800000000000003</c:v>
                </c:pt>
              </c:numCache>
            </c:numRef>
          </c:val>
          <c:extLst>
            <c:ext xmlns:c16="http://schemas.microsoft.com/office/drawing/2014/chart" uri="{C3380CC4-5D6E-409C-BE32-E72D297353CC}">
              <c16:uniqueId val="{00000000-8B32-4BBF-B788-4874C476603E}"/>
            </c:ext>
          </c:extLst>
        </c:ser>
        <c:ser>
          <c:idx val="1"/>
          <c:order val="1"/>
          <c:tx>
            <c:strRef>
              <c:f>'S19_Monte Carlo'!$C$1</c:f>
              <c:strCache>
                <c:ptCount val="1"/>
                <c:pt idx="0">
                  <c:v>WR_1 &gt;= BAU</c:v>
                </c:pt>
              </c:strCache>
            </c:strRef>
          </c:tx>
          <c:spPr>
            <a:solidFill>
              <a:srgbClr val="A2C8D0"/>
            </a:solidFill>
            <a:ln>
              <a:noFill/>
            </a:ln>
            <a:effectLst/>
          </c:spPr>
          <c:invertIfNegative val="0"/>
          <c:dLbls>
            <c:dLbl>
              <c:idx val="0"/>
              <c:tx>
                <c:rich>
                  <a:bodyPr/>
                  <a:lstStyle/>
                  <a:p>
                    <a:fld id="{769BD40A-10B0-418E-8E5C-8138F20C42DD}"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B32-4BBF-B788-4874C476603E}"/>
                </c:ext>
              </c:extLst>
            </c:dLbl>
            <c:dLbl>
              <c:idx val="1"/>
              <c:tx>
                <c:rich>
                  <a:bodyPr/>
                  <a:lstStyle/>
                  <a:p>
                    <a:fld id="{B8B361AA-BF17-4FC7-813C-E96617B2D559}"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B32-4BBF-B788-4874C476603E}"/>
                </c:ext>
              </c:extLst>
            </c:dLbl>
            <c:dLbl>
              <c:idx val="2"/>
              <c:tx>
                <c:rich>
                  <a:bodyPr/>
                  <a:lstStyle/>
                  <a:p>
                    <a:fld id="{D267100E-9559-4997-ABFB-01F3EE17E207}"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B32-4BBF-B788-4874C476603E}"/>
                </c:ext>
              </c:extLst>
            </c:dLbl>
            <c:dLbl>
              <c:idx val="3"/>
              <c:tx>
                <c:rich>
                  <a:bodyPr rot="0" spcFirstLastPara="1" vertOverflow="ellipsis" vert="horz" wrap="none" lIns="38100" tIns="19050" rIns="38100" bIns="19050" anchor="ctr" anchorCtr="1">
                    <a:spAutoFit/>
                  </a:bodyPr>
                  <a:lstStyle/>
                  <a:p>
                    <a:pPr>
                      <a:defRPr sz="800" b="1" i="0" u="none" strike="noStrike" kern="120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fld id="{944F8550-B71F-49E7-85F7-26F3C3CB751F}" type="CELLRANGE">
                      <a:rPr lang="en-US"/>
                      <a:pPr>
                        <a:defRPr sz="800" b="1" i="0" u="none" strike="noStrike" kern="120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t>[]</a:t>
                    </a:fld>
                    <a:endParaRPr/>
                  </a:p>
                </c:rich>
              </c:tx>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4-8B32-4BBF-B788-4874C476603E}"/>
                </c:ext>
              </c:extLst>
            </c:dLbl>
            <c:dLbl>
              <c:idx val="4"/>
              <c:tx>
                <c:rich>
                  <a:bodyPr/>
                  <a:lstStyle/>
                  <a:p>
                    <a:fld id="{81E76822-3C6F-4CE3-B1EE-9589C882016C}"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B32-4BBF-B788-4874C476603E}"/>
                </c:ext>
              </c:extLst>
            </c:dLbl>
            <c:dLbl>
              <c:idx val="5"/>
              <c:tx>
                <c:rich>
                  <a:bodyPr/>
                  <a:lstStyle/>
                  <a:p>
                    <a:fld id="{9AC19D0C-B781-422C-8269-A346AA0CAC3B}"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B32-4BBF-B788-4874C476603E}"/>
                </c:ext>
              </c:extLst>
            </c:dLbl>
            <c:dLbl>
              <c:idx val="6"/>
              <c:tx>
                <c:rich>
                  <a:bodyPr/>
                  <a:lstStyle/>
                  <a:p>
                    <a:fld id="{4679E783-F297-47E6-ACEA-4B66E64BA847}"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B32-4BBF-B788-4874C476603E}"/>
                </c:ext>
              </c:extLst>
            </c:dLbl>
            <c:dLbl>
              <c:idx val="7"/>
              <c:tx>
                <c:rich>
                  <a:bodyPr/>
                  <a:lstStyle/>
                  <a:p>
                    <a:fld id="{FFFD7DAB-9093-48AE-8D47-47E4301AF8EA}"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B32-4BBF-B788-4874C476603E}"/>
                </c:ext>
              </c:extLst>
            </c:dLbl>
            <c:dLbl>
              <c:idx val="8"/>
              <c:delete val="1"/>
              <c:extLst>
                <c:ext xmlns:c15="http://schemas.microsoft.com/office/drawing/2012/chart" uri="{CE6537A1-D6FC-4f65-9D91-7224C49458BB}"/>
                <c:ext xmlns:c16="http://schemas.microsoft.com/office/drawing/2014/chart" uri="{C3380CC4-5D6E-409C-BE32-E72D297353CC}">
                  <c16:uniqueId val="{00000009-8B32-4BBF-B788-4874C476603E}"/>
                </c:ext>
              </c:extLst>
            </c:dLbl>
            <c:dLbl>
              <c:idx val="9"/>
              <c:tx>
                <c:rich>
                  <a:bodyPr/>
                  <a:lstStyle/>
                  <a:p>
                    <a:fld id="{DEF2118D-4EAE-44AD-833C-063B2533EF5D}"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32-4BBF-B788-4874C476603E}"/>
                </c:ext>
              </c:extLst>
            </c:dLbl>
            <c:dLbl>
              <c:idx val="10"/>
              <c:tx>
                <c:rich>
                  <a:bodyPr/>
                  <a:lstStyle/>
                  <a:p>
                    <a:fld id="{E2F48F82-CEC2-441E-940D-01AA0E7BBEAA}"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B32-4BBF-B788-4874C476603E}"/>
                </c:ext>
              </c:extLst>
            </c:dLbl>
            <c:dLbl>
              <c:idx val="11"/>
              <c:tx>
                <c:rich>
                  <a:bodyPr/>
                  <a:lstStyle/>
                  <a:p>
                    <a:fld id="{1DFFE078-F93B-4F9A-91C8-56C9EC3BE0A6}"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B32-4BBF-B788-4874C476603E}"/>
                </c:ext>
              </c:extLst>
            </c:dLbl>
            <c:dLbl>
              <c:idx val="12"/>
              <c:tx>
                <c:rich>
                  <a:bodyPr/>
                  <a:lstStyle/>
                  <a:p>
                    <a:fld id="{36CF9F4A-F665-4420-BC3C-D6D1DB7FCBA2}"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B32-4BBF-B788-4874C476603E}"/>
                </c:ext>
              </c:extLst>
            </c:dLbl>
            <c:dLbl>
              <c:idx val="13"/>
              <c:tx>
                <c:rich>
                  <a:bodyPr/>
                  <a:lstStyle/>
                  <a:p>
                    <a:fld id="{68632614-2704-412D-BE78-F8646A611720}"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B32-4BBF-B788-4874C476603E}"/>
                </c:ext>
              </c:extLst>
            </c:dLbl>
            <c:dLbl>
              <c:idx val="14"/>
              <c:tx>
                <c:rich>
                  <a:bodyPr/>
                  <a:lstStyle/>
                  <a:p>
                    <a:fld id="{70D26516-888A-4CE6-B370-5FBBB743CC55}"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B32-4BBF-B788-4874C476603E}"/>
                </c:ext>
              </c:extLst>
            </c:dLbl>
            <c:dLbl>
              <c:idx val="15"/>
              <c:tx>
                <c:rich>
                  <a:bodyPr/>
                  <a:lstStyle/>
                  <a:p>
                    <a:fld id="{148BE665-D42C-45BE-9CCB-5450A8C93F09}"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B32-4BBF-B788-4874C47660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[5]Sheet1!$A$2:$A$17</c:f>
              <c:strCache>
                <c:ptCount val="16"/>
                <c:pt idx="0">
                  <c:v>Acidification</c:v>
                </c:pt>
                <c:pt idx="1">
                  <c:v>Climate change</c:v>
                </c:pt>
                <c:pt idx="2">
                  <c:v>Ecotoxicity, freshwater</c:v>
                </c:pt>
                <c:pt idx="3">
                  <c:v>Eutrophication, freshwater</c:v>
                </c:pt>
                <c:pt idx="4">
                  <c:v>Eutrophication, marine</c:v>
                </c:pt>
                <c:pt idx="5">
                  <c:v>Eutrophication, terrestrial</c:v>
                </c:pt>
                <c:pt idx="6">
                  <c:v>Human toxicity, cancer</c:v>
                </c:pt>
                <c:pt idx="7">
                  <c:v>Human toxicity, non-cancer</c:v>
                </c:pt>
                <c:pt idx="8">
                  <c:v>Ionising radiation</c:v>
                </c:pt>
                <c:pt idx="9">
                  <c:v>Land use</c:v>
                </c:pt>
                <c:pt idx="10">
                  <c:v>Ozone depletion</c:v>
                </c:pt>
                <c:pt idx="11">
                  <c:v>Particulate matter</c:v>
                </c:pt>
                <c:pt idx="12">
                  <c:v>Photochemical ozone formation</c:v>
                </c:pt>
                <c:pt idx="13">
                  <c:v>Resource use, fossils</c:v>
                </c:pt>
                <c:pt idx="14">
                  <c:v>Resource use, minerals and metals</c:v>
                </c:pt>
                <c:pt idx="15">
                  <c:v>Water use</c:v>
                </c:pt>
              </c:strCache>
            </c:strRef>
          </c:cat>
          <c:val>
            <c:numRef>
              <c:f>'S19_Monte Carlo'!$C$2:$C$17</c:f>
              <c:numCache>
                <c:formatCode>0.00</c:formatCode>
                <c:ptCount val="16"/>
                <c:pt idx="0">
                  <c:v>-3.1000000000000028E-2</c:v>
                </c:pt>
                <c:pt idx="1">
                  <c:v>-9.6999999999999975E-2</c:v>
                </c:pt>
                <c:pt idx="2">
                  <c:v>-0.40900000000000003</c:v>
                </c:pt>
                <c:pt idx="3">
                  <c:v>-7.0000000000000062E-3</c:v>
                </c:pt>
                <c:pt idx="4">
                  <c:v>-0.11899999999999999</c:v>
                </c:pt>
                <c:pt idx="5">
                  <c:v>-5.5000000000000049E-2</c:v>
                </c:pt>
                <c:pt idx="6">
                  <c:v>-0.49</c:v>
                </c:pt>
                <c:pt idx="7">
                  <c:v>-0.40700000000000003</c:v>
                </c:pt>
                <c:pt idx="8">
                  <c:v>0</c:v>
                </c:pt>
                <c:pt idx="9">
                  <c:v>-0.49099999999999999</c:v>
                </c:pt>
                <c:pt idx="10">
                  <c:v>-0.28400000000000003</c:v>
                </c:pt>
                <c:pt idx="11">
                  <c:v>-5.0000000000000044E-3</c:v>
                </c:pt>
                <c:pt idx="12">
                  <c:v>-0.22399999999999998</c:v>
                </c:pt>
                <c:pt idx="13">
                  <c:v>-5.7000000000000051E-2</c:v>
                </c:pt>
                <c:pt idx="14">
                  <c:v>-1.2000000000000011E-2</c:v>
                </c:pt>
                <c:pt idx="15">
                  <c:v>-0.21199999999999997</c:v>
                </c:pt>
              </c:numCache>
            </c:numRef>
          </c:val>
          <c:extLst>
            <c:ext xmlns:c15="http://schemas.microsoft.com/office/drawing/2012/chart" uri="{02D57815-91ED-43cb-92C2-25804820EDAC}">
              <c15:datalabelsRange>
                <c15:f>'S19_Monte Carlo'!$A$21:$A$36</c15:f>
                <c15:dlblRangeCache>
                  <c:ptCount val="16"/>
                  <c:pt idx="0">
                    <c:v>3%</c:v>
                  </c:pt>
                  <c:pt idx="1">
                    <c:v>10%</c:v>
                  </c:pt>
                  <c:pt idx="2">
                    <c:v>41%</c:v>
                  </c:pt>
                  <c:pt idx="3">
                    <c:v>1%</c:v>
                  </c:pt>
                  <c:pt idx="4">
                    <c:v>12%</c:v>
                  </c:pt>
                  <c:pt idx="5">
                    <c:v>6%</c:v>
                  </c:pt>
                  <c:pt idx="6">
                    <c:v>49%</c:v>
                  </c:pt>
                  <c:pt idx="7">
                    <c:v>41%</c:v>
                  </c:pt>
                  <c:pt idx="8">
                    <c:v>0%</c:v>
                  </c:pt>
                  <c:pt idx="9">
                    <c:v>49%</c:v>
                  </c:pt>
                  <c:pt idx="10">
                    <c:v>28%</c:v>
                  </c:pt>
                  <c:pt idx="11">
                    <c:v>1%</c:v>
                  </c:pt>
                  <c:pt idx="12">
                    <c:v>22%</c:v>
                  </c:pt>
                  <c:pt idx="13">
                    <c:v>6%</c:v>
                  </c:pt>
                  <c:pt idx="14">
                    <c:v>1%</c:v>
                  </c:pt>
                  <c:pt idx="15">
                    <c:v>21%</c:v>
                  </c:pt>
                </c15:dlblRangeCache>
              </c15:datalabelsRange>
            </c:ext>
            <c:ext xmlns:c16="http://schemas.microsoft.com/office/drawing/2014/chart" uri="{C3380CC4-5D6E-409C-BE32-E72D297353CC}">
              <c16:uniqueId val="{00000011-8B32-4BBF-B788-4874C476603E}"/>
            </c:ext>
          </c:extLst>
        </c:ser>
        <c:dLbls>
          <c:showLegendKey val="0"/>
          <c:showVal val="0"/>
          <c:showCatName val="0"/>
          <c:showSerName val="0"/>
          <c:showPercent val="0"/>
          <c:showBubbleSize val="0"/>
        </c:dLbls>
        <c:gapWidth val="20"/>
        <c:overlap val="100"/>
        <c:axId val="1825148288"/>
        <c:axId val="1825153568"/>
      </c:barChart>
      <c:catAx>
        <c:axId val="1825148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crossAx val="1825153568"/>
        <c:crosses val="autoZero"/>
        <c:auto val="1"/>
        <c:lblAlgn val="ctr"/>
        <c:lblOffset val="0"/>
        <c:tickLblSkip val="1"/>
        <c:noMultiLvlLbl val="0"/>
      </c:catAx>
      <c:valAx>
        <c:axId val="1825153568"/>
        <c:scaling>
          <c:orientation val="minMax"/>
          <c:max val="1"/>
          <c:min val="-1"/>
        </c:scaling>
        <c:delete val="1"/>
        <c:axPos val="b"/>
        <c:numFmt formatCode="0%" sourceLinked="0"/>
        <c:majorTickMark val="none"/>
        <c:minorTickMark val="none"/>
        <c:tickLblPos val="nextTo"/>
        <c:crossAx val="1825148288"/>
        <c:crosses val="autoZero"/>
        <c:crossBetween val="between"/>
        <c:majorUnit val="0.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r>
              <a:rPr lang="en-GB"/>
              <a:t>Uncertainty Analysis BAU&gt;= WR_2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title>
    <c:autoTitleDeleted val="0"/>
    <c:plotArea>
      <c:layout>
        <c:manualLayout>
          <c:layoutTarget val="inner"/>
          <c:xMode val="edge"/>
          <c:yMode val="edge"/>
          <c:x val="0.1651492482440913"/>
          <c:y val="0.14132681536071867"/>
          <c:w val="0.67858814389979571"/>
          <c:h val="0.70704133802232871"/>
        </c:manualLayout>
      </c:layout>
      <c:barChart>
        <c:barDir val="bar"/>
        <c:grouping val="stacked"/>
        <c:varyColors val="0"/>
        <c:ser>
          <c:idx val="0"/>
          <c:order val="0"/>
          <c:tx>
            <c:strRef>
              <c:f>'S19_Monte Carlo'!$D$1</c:f>
              <c:strCache>
                <c:ptCount val="1"/>
                <c:pt idx="0">
                  <c:v>BAU &gt;= WR_2</c:v>
                </c:pt>
              </c:strCache>
            </c:strRef>
          </c:tx>
          <c:spPr>
            <a:solidFill>
              <a:srgbClr val="800074"/>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[5]Sheet1!$A$2:$A$17</c:f>
              <c:strCache>
                <c:ptCount val="16"/>
                <c:pt idx="0">
                  <c:v>Acidification</c:v>
                </c:pt>
                <c:pt idx="1">
                  <c:v>Climate change</c:v>
                </c:pt>
                <c:pt idx="2">
                  <c:v>Ecotoxicity, freshwater</c:v>
                </c:pt>
                <c:pt idx="3">
                  <c:v>Eutrophication, freshwater</c:v>
                </c:pt>
                <c:pt idx="4">
                  <c:v>Eutrophication, marine</c:v>
                </c:pt>
                <c:pt idx="5">
                  <c:v>Eutrophication, terrestrial</c:v>
                </c:pt>
                <c:pt idx="6">
                  <c:v>Human toxicity, cancer</c:v>
                </c:pt>
                <c:pt idx="7">
                  <c:v>Human toxicity, non-cancer</c:v>
                </c:pt>
                <c:pt idx="8">
                  <c:v>Ionising radiation</c:v>
                </c:pt>
                <c:pt idx="9">
                  <c:v>Land use</c:v>
                </c:pt>
                <c:pt idx="10">
                  <c:v>Ozone depletion</c:v>
                </c:pt>
                <c:pt idx="11">
                  <c:v>Particulate matter</c:v>
                </c:pt>
                <c:pt idx="12">
                  <c:v>Photochemical ozone formation</c:v>
                </c:pt>
                <c:pt idx="13">
                  <c:v>Resource use, fossils</c:v>
                </c:pt>
                <c:pt idx="14">
                  <c:v>Resource use, minerals and metals</c:v>
                </c:pt>
                <c:pt idx="15">
                  <c:v>Water use</c:v>
                </c:pt>
              </c:strCache>
            </c:strRef>
          </c:cat>
          <c:val>
            <c:numRef>
              <c:f>'S19_Monte Carlo'!$D$2:$D$17</c:f>
              <c:numCache>
                <c:formatCode>0.00</c:formatCode>
                <c:ptCount val="16"/>
                <c:pt idx="0">
                  <c:v>0.96099999999999997</c:v>
                </c:pt>
                <c:pt idx="1">
                  <c:v>0.91100000000000003</c:v>
                </c:pt>
                <c:pt idx="2">
                  <c:v>0.55800000000000005</c:v>
                </c:pt>
                <c:pt idx="3">
                  <c:v>0.995</c:v>
                </c:pt>
                <c:pt idx="4">
                  <c:v>0.871</c:v>
                </c:pt>
                <c:pt idx="5">
                  <c:v>0.94399999999999995</c:v>
                </c:pt>
                <c:pt idx="6">
                  <c:v>0.49399999999999999</c:v>
                </c:pt>
                <c:pt idx="7">
                  <c:v>0.50700000000000001</c:v>
                </c:pt>
                <c:pt idx="8">
                  <c:v>1</c:v>
                </c:pt>
                <c:pt idx="9">
                  <c:v>0.51900000000000002</c:v>
                </c:pt>
                <c:pt idx="10">
                  <c:v>0.73499999999999999</c:v>
                </c:pt>
                <c:pt idx="11">
                  <c:v>0.997</c:v>
                </c:pt>
                <c:pt idx="12">
                  <c:v>0.77600000000000002</c:v>
                </c:pt>
                <c:pt idx="13">
                  <c:v>0.94599999999999995</c:v>
                </c:pt>
                <c:pt idx="14">
                  <c:v>0.98599999999999999</c:v>
                </c:pt>
                <c:pt idx="15">
                  <c:v>0.79300000000000004</c:v>
                </c:pt>
              </c:numCache>
            </c:numRef>
          </c:val>
          <c:extLst>
            <c:ext xmlns:c16="http://schemas.microsoft.com/office/drawing/2014/chart" uri="{C3380CC4-5D6E-409C-BE32-E72D297353CC}">
              <c16:uniqueId val="{00000000-533F-4127-ABE6-75050D5FC64C}"/>
            </c:ext>
          </c:extLst>
        </c:ser>
        <c:ser>
          <c:idx val="1"/>
          <c:order val="1"/>
          <c:tx>
            <c:strRef>
              <c:f>'S19_Monte Carlo'!$E$1</c:f>
              <c:strCache>
                <c:ptCount val="1"/>
                <c:pt idx="0">
                  <c:v>WR_2 &gt;= BAU</c:v>
                </c:pt>
              </c:strCache>
            </c:strRef>
          </c:tx>
          <c:spPr>
            <a:solidFill>
              <a:srgbClr val="A2C8D0"/>
            </a:solidFill>
            <a:ln>
              <a:noFill/>
            </a:ln>
            <a:effectLst/>
          </c:spPr>
          <c:invertIfNegative val="0"/>
          <c:dLbls>
            <c:dLbl>
              <c:idx val="0"/>
              <c:tx>
                <c:rich>
                  <a:bodyPr/>
                  <a:lstStyle/>
                  <a:p>
                    <a:fld id="{712AB5C3-078D-48B7-96E3-24A208777A4A}"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33F-4127-ABE6-75050D5FC64C}"/>
                </c:ext>
              </c:extLst>
            </c:dLbl>
            <c:dLbl>
              <c:idx val="1"/>
              <c:tx>
                <c:rich>
                  <a:bodyPr/>
                  <a:lstStyle/>
                  <a:p>
                    <a:fld id="{96B53999-4300-4CBB-BE6E-1EC92C06471B}"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33F-4127-ABE6-75050D5FC64C}"/>
                </c:ext>
              </c:extLst>
            </c:dLbl>
            <c:dLbl>
              <c:idx val="2"/>
              <c:tx>
                <c:rich>
                  <a:bodyPr/>
                  <a:lstStyle/>
                  <a:p>
                    <a:fld id="{715717F8-13C5-4347-B878-9170DF3A9490}"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33F-4127-ABE6-75050D5FC64C}"/>
                </c:ext>
              </c:extLst>
            </c:dLbl>
            <c:dLbl>
              <c:idx val="3"/>
              <c:tx>
                <c:rich>
                  <a:bodyPr/>
                  <a:lstStyle/>
                  <a:p>
                    <a:fld id="{1F1B7B83-4686-4416-98BA-92EBB0139EAC}"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33F-4127-ABE6-75050D5FC64C}"/>
                </c:ext>
              </c:extLst>
            </c:dLbl>
            <c:dLbl>
              <c:idx val="4"/>
              <c:tx>
                <c:rich>
                  <a:bodyPr/>
                  <a:lstStyle/>
                  <a:p>
                    <a:fld id="{9C338BA1-6E61-443F-9C3C-0F1C0B503E52}"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33F-4127-ABE6-75050D5FC64C}"/>
                </c:ext>
              </c:extLst>
            </c:dLbl>
            <c:dLbl>
              <c:idx val="5"/>
              <c:tx>
                <c:rich>
                  <a:bodyPr/>
                  <a:lstStyle/>
                  <a:p>
                    <a:fld id="{D4B29127-25A3-41DA-9560-A8648EC90581}"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33F-4127-ABE6-75050D5FC64C}"/>
                </c:ext>
              </c:extLst>
            </c:dLbl>
            <c:dLbl>
              <c:idx val="6"/>
              <c:tx>
                <c:rich>
                  <a:bodyPr/>
                  <a:lstStyle/>
                  <a:p>
                    <a:fld id="{102C6C92-78F3-476E-92E4-EAF3707FCBAB}"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33F-4127-ABE6-75050D5FC64C}"/>
                </c:ext>
              </c:extLst>
            </c:dLbl>
            <c:dLbl>
              <c:idx val="7"/>
              <c:tx>
                <c:rich>
                  <a:bodyPr/>
                  <a:lstStyle/>
                  <a:p>
                    <a:fld id="{B969349C-A339-45F4-915D-F1BDE21F3358}"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33F-4127-ABE6-75050D5FC64C}"/>
                </c:ext>
              </c:extLst>
            </c:dLbl>
            <c:dLbl>
              <c:idx val="8"/>
              <c:delete val="1"/>
              <c:extLst>
                <c:ext xmlns:c15="http://schemas.microsoft.com/office/drawing/2012/chart" uri="{CE6537A1-D6FC-4f65-9D91-7224C49458BB}"/>
                <c:ext xmlns:c16="http://schemas.microsoft.com/office/drawing/2014/chart" uri="{C3380CC4-5D6E-409C-BE32-E72D297353CC}">
                  <c16:uniqueId val="{00000009-533F-4127-ABE6-75050D5FC64C}"/>
                </c:ext>
              </c:extLst>
            </c:dLbl>
            <c:dLbl>
              <c:idx val="9"/>
              <c:tx>
                <c:rich>
                  <a:bodyPr/>
                  <a:lstStyle/>
                  <a:p>
                    <a:fld id="{8C1BB2B0-7C79-400A-80C2-5FE48B31BC41}"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33F-4127-ABE6-75050D5FC64C}"/>
                </c:ext>
              </c:extLst>
            </c:dLbl>
            <c:dLbl>
              <c:idx val="10"/>
              <c:tx>
                <c:rich>
                  <a:bodyPr/>
                  <a:lstStyle/>
                  <a:p>
                    <a:fld id="{31B8A18E-EBAC-4EE3-A67E-D3A5AF07CC38}"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33F-4127-ABE6-75050D5FC64C}"/>
                </c:ext>
              </c:extLst>
            </c:dLbl>
            <c:dLbl>
              <c:idx val="11"/>
              <c:tx>
                <c:rich>
                  <a:bodyPr/>
                  <a:lstStyle/>
                  <a:p>
                    <a:fld id="{3E78EAA4-5EF0-4B40-99CD-27F838FE5FB9}"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33F-4127-ABE6-75050D5FC64C}"/>
                </c:ext>
              </c:extLst>
            </c:dLbl>
            <c:dLbl>
              <c:idx val="12"/>
              <c:tx>
                <c:rich>
                  <a:bodyPr/>
                  <a:lstStyle/>
                  <a:p>
                    <a:fld id="{5E34D6B6-7F0A-4CBA-8AEC-1AEA740D4700}"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33F-4127-ABE6-75050D5FC64C}"/>
                </c:ext>
              </c:extLst>
            </c:dLbl>
            <c:dLbl>
              <c:idx val="13"/>
              <c:tx>
                <c:rich>
                  <a:bodyPr/>
                  <a:lstStyle/>
                  <a:p>
                    <a:fld id="{6FA509B0-4CD3-4BDA-B250-1515E4AF6D9D}"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33F-4127-ABE6-75050D5FC64C}"/>
                </c:ext>
              </c:extLst>
            </c:dLbl>
            <c:dLbl>
              <c:idx val="14"/>
              <c:tx>
                <c:rich>
                  <a:bodyPr/>
                  <a:lstStyle/>
                  <a:p>
                    <a:fld id="{B0F8D1A7-3F74-46CA-A76C-34441B004B83}" type="CELLRANGE">
                      <a:rPr lang="en-US"/>
                      <a:pPr/>
                      <a:t>[]</a:t>
                    </a:fld>
                    <a:endParaRPr/>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33F-4127-ABE6-75050D5FC64C}"/>
                </c:ext>
              </c:extLst>
            </c:dLbl>
            <c:dLbl>
              <c:idx val="15"/>
              <c:tx>
                <c:rich>
                  <a:bodyPr/>
                  <a:lstStyle/>
                  <a:p>
                    <a:fld id="{36BAF8D3-F3F7-4348-A71E-CB6842B21B42}"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33F-4127-ABE6-75050D5FC64C}"/>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[5]Sheet1!$A$2:$A$17</c:f>
              <c:strCache>
                <c:ptCount val="16"/>
                <c:pt idx="0">
                  <c:v>Acidification</c:v>
                </c:pt>
                <c:pt idx="1">
                  <c:v>Climate change</c:v>
                </c:pt>
                <c:pt idx="2">
                  <c:v>Ecotoxicity, freshwater</c:v>
                </c:pt>
                <c:pt idx="3">
                  <c:v>Eutrophication, freshwater</c:v>
                </c:pt>
                <c:pt idx="4">
                  <c:v>Eutrophication, marine</c:v>
                </c:pt>
                <c:pt idx="5">
                  <c:v>Eutrophication, terrestrial</c:v>
                </c:pt>
                <c:pt idx="6">
                  <c:v>Human toxicity, cancer</c:v>
                </c:pt>
                <c:pt idx="7">
                  <c:v>Human toxicity, non-cancer</c:v>
                </c:pt>
                <c:pt idx="8">
                  <c:v>Ionising radiation</c:v>
                </c:pt>
                <c:pt idx="9">
                  <c:v>Land use</c:v>
                </c:pt>
                <c:pt idx="10">
                  <c:v>Ozone depletion</c:v>
                </c:pt>
                <c:pt idx="11">
                  <c:v>Particulate matter</c:v>
                </c:pt>
                <c:pt idx="12">
                  <c:v>Photochemical ozone formation</c:v>
                </c:pt>
                <c:pt idx="13">
                  <c:v>Resource use, fossils</c:v>
                </c:pt>
                <c:pt idx="14">
                  <c:v>Resource use, minerals and metals</c:v>
                </c:pt>
                <c:pt idx="15">
                  <c:v>Water use</c:v>
                </c:pt>
              </c:strCache>
            </c:strRef>
          </c:cat>
          <c:val>
            <c:numRef>
              <c:f>'S19_Monte Carlo'!$E$2:$E$17</c:f>
              <c:numCache>
                <c:formatCode>0.00</c:formatCode>
                <c:ptCount val="16"/>
                <c:pt idx="0">
                  <c:v>-3.9000000000000035E-2</c:v>
                </c:pt>
                <c:pt idx="1">
                  <c:v>-8.8999999999999968E-2</c:v>
                </c:pt>
                <c:pt idx="2">
                  <c:v>-0.44199999999999995</c:v>
                </c:pt>
                <c:pt idx="3">
                  <c:v>-5.0000000000000044E-3</c:v>
                </c:pt>
                <c:pt idx="4">
                  <c:v>-0.129</c:v>
                </c:pt>
                <c:pt idx="5">
                  <c:v>-5.600000000000005E-2</c:v>
                </c:pt>
                <c:pt idx="6">
                  <c:v>-0.50600000000000001</c:v>
                </c:pt>
                <c:pt idx="7">
                  <c:v>-0.49299999999999999</c:v>
                </c:pt>
                <c:pt idx="8">
                  <c:v>0</c:v>
                </c:pt>
                <c:pt idx="9">
                  <c:v>-0.48099999999999998</c:v>
                </c:pt>
                <c:pt idx="10">
                  <c:v>-0.26500000000000001</c:v>
                </c:pt>
                <c:pt idx="11">
                  <c:v>-3.0000000000000027E-3</c:v>
                </c:pt>
                <c:pt idx="12">
                  <c:v>-0.22399999999999998</c:v>
                </c:pt>
                <c:pt idx="13">
                  <c:v>-5.4000000000000048E-2</c:v>
                </c:pt>
                <c:pt idx="14">
                  <c:v>-1.4000000000000012E-2</c:v>
                </c:pt>
                <c:pt idx="15">
                  <c:v>-0.20699999999999996</c:v>
                </c:pt>
              </c:numCache>
            </c:numRef>
          </c:val>
          <c:extLst>
            <c:ext xmlns:c15="http://schemas.microsoft.com/office/drawing/2012/chart" uri="{02D57815-91ED-43cb-92C2-25804820EDAC}">
              <c15:datalabelsRange>
                <c15:f>'S19_Monte Carlo'!$B$21:$B$36</c15:f>
                <c15:dlblRangeCache>
                  <c:ptCount val="16"/>
                  <c:pt idx="0">
                    <c:v>4%</c:v>
                  </c:pt>
                  <c:pt idx="1">
                    <c:v>9%</c:v>
                  </c:pt>
                  <c:pt idx="2">
                    <c:v>44%</c:v>
                  </c:pt>
                  <c:pt idx="3">
                    <c:v>1%</c:v>
                  </c:pt>
                  <c:pt idx="4">
                    <c:v>13%</c:v>
                  </c:pt>
                  <c:pt idx="5">
                    <c:v>6%</c:v>
                  </c:pt>
                  <c:pt idx="6">
                    <c:v>51%</c:v>
                  </c:pt>
                  <c:pt idx="7">
                    <c:v>49%</c:v>
                  </c:pt>
                  <c:pt idx="8">
                    <c:v>0%</c:v>
                  </c:pt>
                  <c:pt idx="9">
                    <c:v>48%</c:v>
                  </c:pt>
                  <c:pt idx="10">
                    <c:v>27%</c:v>
                  </c:pt>
                  <c:pt idx="11">
                    <c:v>0%</c:v>
                  </c:pt>
                  <c:pt idx="12">
                    <c:v>22%</c:v>
                  </c:pt>
                  <c:pt idx="13">
                    <c:v>5%</c:v>
                  </c:pt>
                  <c:pt idx="14">
                    <c:v>1%</c:v>
                  </c:pt>
                  <c:pt idx="15">
                    <c:v>21%</c:v>
                  </c:pt>
                </c15:dlblRangeCache>
              </c15:datalabelsRange>
            </c:ext>
            <c:ext xmlns:c16="http://schemas.microsoft.com/office/drawing/2014/chart" uri="{C3380CC4-5D6E-409C-BE32-E72D297353CC}">
              <c16:uniqueId val="{00000011-533F-4127-ABE6-75050D5FC64C}"/>
            </c:ext>
          </c:extLst>
        </c:ser>
        <c:dLbls>
          <c:showLegendKey val="0"/>
          <c:showVal val="0"/>
          <c:showCatName val="0"/>
          <c:showSerName val="0"/>
          <c:showPercent val="0"/>
          <c:showBubbleSize val="0"/>
        </c:dLbls>
        <c:gapWidth val="20"/>
        <c:overlap val="100"/>
        <c:axId val="1825148288"/>
        <c:axId val="1825153568"/>
      </c:barChart>
      <c:catAx>
        <c:axId val="1825148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crossAx val="1825153568"/>
        <c:crosses val="autoZero"/>
        <c:auto val="1"/>
        <c:lblAlgn val="ctr"/>
        <c:lblOffset val="0"/>
        <c:tickLblSkip val="1"/>
        <c:noMultiLvlLbl val="0"/>
      </c:catAx>
      <c:valAx>
        <c:axId val="1825153568"/>
        <c:scaling>
          <c:orientation val="minMax"/>
          <c:max val="1"/>
          <c:min val="-1"/>
        </c:scaling>
        <c:delete val="1"/>
        <c:axPos val="b"/>
        <c:numFmt formatCode="0%" sourceLinked="0"/>
        <c:majorTickMark val="none"/>
        <c:minorTickMark val="none"/>
        <c:tickLblPos val="nextTo"/>
        <c:crossAx val="1825148288"/>
        <c:crosses val="autoZero"/>
        <c:crossBetween val="between"/>
        <c:majorUnit val="0.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Segoe UI Historic" panose="020B0502040204020203" pitchFamily="34" charset="0"/>
          <a:ea typeface="Segoe UI Historic" panose="020B0502040204020203" pitchFamily="34" charset="0"/>
          <a:cs typeface="Segoe UI Historic" panose="020B0502040204020203"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r>
              <a:rPr lang="en-GB" sz="1200" b="1"/>
              <a:t>Acidification (kg of tomatoes/ mol+</a:t>
            </a:r>
            <a:r>
              <a:rPr lang="en-GB" sz="1200" b="1" baseline="0"/>
              <a:t> eq.)</a:t>
            </a:r>
            <a:endParaRPr lang="en-GB" sz="1200" b="1"/>
          </a:p>
        </c:rich>
      </c:tx>
      <c:layout>
        <c:manualLayout>
          <c:xMode val="edge"/>
          <c:yMode val="edge"/>
          <c:x val="0.24144810123627244"/>
          <c:y val="1.97808706742695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GB"/>
        </a:p>
      </c:txPr>
    </c:title>
    <c:autoTitleDeleted val="0"/>
    <c:plotArea>
      <c:layout>
        <c:manualLayout>
          <c:layoutTarget val="inner"/>
          <c:xMode val="edge"/>
          <c:yMode val="edge"/>
          <c:x val="0.1643788789840355"/>
          <c:y val="8.6365417430885452E-2"/>
          <c:w val="0.80544987877393248"/>
          <c:h val="0.80770904060299131"/>
        </c:manualLayout>
      </c:layout>
      <c:areaChart>
        <c:grouping val="stacked"/>
        <c:varyColors val="0"/>
        <c:ser>
          <c:idx val="4"/>
          <c:order val="0"/>
          <c:tx>
            <c:strRef>
              <c:f>'S14_Upscaled LCA'!$O$1</c:f>
              <c:strCache>
                <c:ptCount val="1"/>
                <c:pt idx="0">
                  <c:v>Planetary Boundaries</c:v>
                </c:pt>
              </c:strCache>
            </c:strRef>
          </c:tx>
          <c:spPr>
            <a:solidFill>
              <a:schemeClr val="accent6">
                <a:lumMod val="40000"/>
                <a:lumOff val="60000"/>
                <a:alpha val="28000"/>
              </a:schemeClr>
            </a:solidFill>
            <a:ln w="53975">
              <a:noFill/>
            </a:ln>
            <a:effectLst/>
          </c:spPr>
          <c:val>
            <c:numRef>
              <c:f>'S14_Upscaled LCA'!$O$2:$O$4</c:f>
              <c:numCache>
                <c:formatCode>0.00E+00</c:formatCode>
                <c:ptCount val="3"/>
                <c:pt idx="0">
                  <c:v>6.9699999999999996E-3</c:v>
                </c:pt>
                <c:pt idx="1">
                  <c:v>6.9699999999999996E-3</c:v>
                </c:pt>
                <c:pt idx="2">
                  <c:v>6.9699999999999996E-3</c:v>
                </c:pt>
              </c:numCache>
            </c:numRef>
          </c:val>
          <c:extLst>
            <c:ext xmlns:c16="http://schemas.microsoft.com/office/drawing/2014/chart" uri="{C3380CC4-5D6E-409C-BE32-E72D297353CC}">
              <c16:uniqueId val="{00000002-0F0B-4B9D-97F5-E6A6C18A8E01}"/>
            </c:ext>
          </c:extLst>
        </c:ser>
        <c:dLbls>
          <c:showLegendKey val="0"/>
          <c:showVal val="0"/>
          <c:showCatName val="0"/>
          <c:showSerName val="0"/>
          <c:showPercent val="0"/>
          <c:showBubbleSize val="0"/>
        </c:dLbls>
        <c:axId val="1626730575"/>
        <c:axId val="1626728655"/>
      </c:areaChart>
      <c:barChart>
        <c:barDir val="col"/>
        <c:grouping val="stacked"/>
        <c:varyColors val="0"/>
        <c:ser>
          <c:idx val="0"/>
          <c:order val="1"/>
          <c:tx>
            <c:strRef>
              <c:f>'S14_Upscaled LCA'!$J$1</c:f>
              <c:strCache>
                <c:ptCount val="1"/>
                <c:pt idx="0">
                  <c:v>Processing Tomatoes at Farm Gate</c:v>
                </c:pt>
              </c:strCache>
            </c:strRef>
          </c:tx>
          <c:spPr>
            <a:solidFill>
              <a:srgbClr val="A2C8D0"/>
            </a:solidFill>
            <a:ln>
              <a:noFill/>
            </a:ln>
            <a:effectLst/>
          </c:spPr>
          <c:invertIfNegative val="0"/>
          <c:cat>
            <c:strRef>
              <c:f>'S14_Upscaled LCA'!$I$2:$I$4</c:f>
              <c:strCache>
                <c:ptCount val="3"/>
                <c:pt idx="0">
                  <c:v>BAU (No Reuse) </c:v>
                </c:pt>
                <c:pt idx="1">
                  <c:v>WR_1 (Reuse)</c:v>
                </c:pt>
                <c:pt idx="2">
                  <c:v>WR_2 (Reuse)</c:v>
                </c:pt>
              </c:strCache>
            </c:strRef>
          </c:cat>
          <c:val>
            <c:numRef>
              <c:f>'S14_Upscaled LCA'!$J$2:$J$4</c:f>
              <c:numCache>
                <c:formatCode>0.00E+00</c:formatCode>
                <c:ptCount val="3"/>
                <c:pt idx="0">
                  <c:v>9.6100000000000005E-4</c:v>
                </c:pt>
                <c:pt idx="1">
                  <c:v>7.2599999999999997E-4</c:v>
                </c:pt>
                <c:pt idx="2">
                  <c:v>7.2599999999999997E-4</c:v>
                </c:pt>
              </c:numCache>
            </c:numRef>
          </c:val>
          <c:extLst>
            <c:ext xmlns:c16="http://schemas.microsoft.com/office/drawing/2014/chart" uri="{C3380CC4-5D6E-409C-BE32-E72D297353CC}">
              <c16:uniqueId val="{00000000-4BED-47F6-AB14-A5E17800E0E1}"/>
            </c:ext>
          </c:extLst>
        </c:ser>
        <c:ser>
          <c:idx val="1"/>
          <c:order val="2"/>
          <c:tx>
            <c:strRef>
              <c:f>'S14_Upscaled LCA'!$K$1</c:f>
              <c:strCache>
                <c:ptCount val="1"/>
                <c:pt idx="0">
                  <c:v>Wastewater Discharge </c:v>
                </c:pt>
              </c:strCache>
            </c:strRef>
          </c:tx>
          <c:spPr>
            <a:solidFill>
              <a:srgbClr val="C99B38"/>
            </a:solidFill>
            <a:ln>
              <a:noFill/>
            </a:ln>
            <a:effectLst/>
          </c:spPr>
          <c:invertIfNegative val="0"/>
          <c:cat>
            <c:strRef>
              <c:f>'S14_Upscaled LCA'!$I$2:$I$4</c:f>
              <c:strCache>
                <c:ptCount val="3"/>
                <c:pt idx="0">
                  <c:v>BAU (No Reuse) </c:v>
                </c:pt>
                <c:pt idx="1">
                  <c:v>WR_1 (Reuse)</c:v>
                </c:pt>
                <c:pt idx="2">
                  <c:v>WR_2 (Reuse)</c:v>
                </c:pt>
              </c:strCache>
            </c:strRef>
          </c:cat>
          <c:val>
            <c:numRef>
              <c:f>'S14_Upscaled LCA'!$K$2:$K$4</c:f>
              <c:numCache>
                <c:formatCode>0.00E+00</c:formatCode>
                <c:ptCount val="3"/>
                <c:pt idx="0">
                  <c:v>1.06E-4</c:v>
                </c:pt>
                <c:pt idx="1">
                  <c:v>1.43E-5</c:v>
                </c:pt>
                <c:pt idx="2">
                  <c:v>1.43E-5</c:v>
                </c:pt>
              </c:numCache>
            </c:numRef>
          </c:val>
          <c:extLst>
            <c:ext xmlns:c16="http://schemas.microsoft.com/office/drawing/2014/chart" uri="{C3380CC4-5D6E-409C-BE32-E72D297353CC}">
              <c16:uniqueId val="{00000001-4BED-47F6-AB14-A5E17800E0E1}"/>
            </c:ext>
          </c:extLst>
        </c:ser>
        <c:ser>
          <c:idx val="2"/>
          <c:order val="3"/>
          <c:tx>
            <c:strRef>
              <c:f>'S14_Upscaled LCA'!$L$1</c:f>
              <c:strCache>
                <c:ptCount val="1"/>
                <c:pt idx="0">
                  <c:v>Irrigation Groundwater</c:v>
                </c:pt>
              </c:strCache>
            </c:strRef>
          </c:tx>
          <c:spPr>
            <a:solidFill>
              <a:srgbClr val="00B0BE"/>
            </a:solidFill>
            <a:ln>
              <a:noFill/>
            </a:ln>
            <a:effectLst/>
          </c:spPr>
          <c:invertIfNegative val="0"/>
          <c:cat>
            <c:strRef>
              <c:f>'S14_Upscaled LCA'!$I$2:$I$4</c:f>
              <c:strCache>
                <c:ptCount val="3"/>
                <c:pt idx="0">
                  <c:v>BAU (No Reuse) </c:v>
                </c:pt>
                <c:pt idx="1">
                  <c:v>WR_1 (Reuse)</c:v>
                </c:pt>
                <c:pt idx="2">
                  <c:v>WR_2 (Reuse)</c:v>
                </c:pt>
              </c:strCache>
            </c:strRef>
          </c:cat>
          <c:val>
            <c:numRef>
              <c:f>'S14_Upscaled LCA'!$L$2:$L$4</c:f>
              <c:numCache>
                <c:formatCode>0.00E+00</c:formatCode>
                <c:ptCount val="3"/>
                <c:pt idx="0">
                  <c:v>3.1199999999999999E-5</c:v>
                </c:pt>
                <c:pt idx="1">
                  <c:v>0</c:v>
                </c:pt>
                <c:pt idx="2">
                  <c:v>0</c:v>
                </c:pt>
              </c:numCache>
            </c:numRef>
          </c:val>
          <c:extLst>
            <c:ext xmlns:c16="http://schemas.microsoft.com/office/drawing/2014/chart" uri="{C3380CC4-5D6E-409C-BE32-E72D297353CC}">
              <c16:uniqueId val="{00000000-0F0B-4B9D-97F5-E6A6C18A8E01}"/>
            </c:ext>
          </c:extLst>
        </c:ser>
        <c:ser>
          <c:idx val="3"/>
          <c:order val="4"/>
          <c:tx>
            <c:strRef>
              <c:f>'S14_Upscaled LCA'!$M$1</c:f>
              <c:strCache>
                <c:ptCount val="1"/>
                <c:pt idx="0">
                  <c:v>Irrigation Reused Water</c:v>
                </c:pt>
              </c:strCache>
            </c:strRef>
          </c:tx>
          <c:spPr>
            <a:solidFill>
              <a:srgbClr val="EDDCA5"/>
            </a:solidFill>
            <a:ln>
              <a:noFill/>
            </a:ln>
            <a:effectLst/>
          </c:spPr>
          <c:invertIfNegative val="0"/>
          <c:cat>
            <c:strRef>
              <c:f>'S14_Upscaled LCA'!$I$2:$I$4</c:f>
              <c:strCache>
                <c:ptCount val="3"/>
                <c:pt idx="0">
                  <c:v>BAU (No Reuse) </c:v>
                </c:pt>
                <c:pt idx="1">
                  <c:v>WR_1 (Reuse)</c:v>
                </c:pt>
                <c:pt idx="2">
                  <c:v>WR_2 (Reuse)</c:v>
                </c:pt>
              </c:strCache>
            </c:strRef>
          </c:cat>
          <c:val>
            <c:numRef>
              <c:f>'S14_Upscaled LCA'!$M$2:$M$4</c:f>
              <c:numCache>
                <c:formatCode>0.00E+00</c:formatCode>
                <c:ptCount val="3"/>
                <c:pt idx="0">
                  <c:v>0</c:v>
                </c:pt>
                <c:pt idx="1">
                  <c:v>1.9000000000000001E-5</c:v>
                </c:pt>
                <c:pt idx="2">
                  <c:v>1.3016146999999999E-5</c:v>
                </c:pt>
              </c:numCache>
            </c:numRef>
          </c:val>
          <c:extLst>
            <c:ext xmlns:c16="http://schemas.microsoft.com/office/drawing/2014/chart" uri="{C3380CC4-5D6E-409C-BE32-E72D297353CC}">
              <c16:uniqueId val="{00000001-0F0B-4B9D-97F5-E6A6C18A8E01}"/>
            </c:ext>
          </c:extLst>
        </c:ser>
        <c:dLbls>
          <c:showLegendKey val="0"/>
          <c:showVal val="0"/>
          <c:showCatName val="0"/>
          <c:showSerName val="0"/>
          <c:showPercent val="0"/>
          <c:showBubbleSize val="0"/>
        </c:dLbls>
        <c:gapWidth val="20"/>
        <c:overlap val="100"/>
        <c:axId val="1626730575"/>
        <c:axId val="1626728655"/>
      </c:barChart>
      <c:catAx>
        <c:axId val="162673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28655"/>
        <c:crosses val="autoZero"/>
        <c:auto val="1"/>
        <c:lblAlgn val="ctr"/>
        <c:lblOffset val="100"/>
        <c:noMultiLvlLbl val="0"/>
      </c:catAx>
      <c:valAx>
        <c:axId val="1626728655"/>
        <c:scaling>
          <c:orientation val="minMax"/>
        </c:scaling>
        <c:delete val="0"/>
        <c:axPos val="l"/>
        <c:majorGridlines>
          <c:spPr>
            <a:ln w="6350" cap="flat" cmpd="sng" algn="ctr">
              <a:solidFill>
                <a:schemeClr val="tx1">
                  <a:lumMod val="15000"/>
                  <a:lumOff val="85000"/>
                </a:schemeClr>
              </a:solidFill>
              <a:prstDash val="lgDash"/>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30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r>
              <a:rPr lang="en-GB" sz="1200" b="1"/>
              <a:t>Climate Change (kg of tomatoes/ kg of CO</a:t>
            </a:r>
            <a:r>
              <a:rPr lang="en-GB" sz="1200" b="1" baseline="-25000"/>
              <a:t>2</a:t>
            </a:r>
            <a:r>
              <a:rPr lang="en-GB" sz="1200" b="1"/>
              <a:t> eq.)</a:t>
            </a:r>
          </a:p>
        </c:rich>
      </c:tx>
      <c:layout>
        <c:manualLayout>
          <c:xMode val="edge"/>
          <c:yMode val="edge"/>
          <c:x val="0.16216759259259259"/>
          <c:y val="1.97807870370370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GB"/>
        </a:p>
      </c:txPr>
    </c:title>
    <c:autoTitleDeleted val="0"/>
    <c:plotArea>
      <c:layout>
        <c:manualLayout>
          <c:layoutTarget val="inner"/>
          <c:xMode val="edge"/>
          <c:yMode val="edge"/>
          <c:x val="0.1643788789840355"/>
          <c:y val="8.6365417430885452E-2"/>
          <c:w val="0.80544987877393248"/>
          <c:h val="0.80770904060299131"/>
        </c:manualLayout>
      </c:layout>
      <c:areaChart>
        <c:grouping val="stacked"/>
        <c:varyColors val="0"/>
        <c:ser>
          <c:idx val="4"/>
          <c:order val="4"/>
          <c:tx>
            <c:strRef>
              <c:f>'S14_Upscaled LCA'!$O$1</c:f>
              <c:strCache>
                <c:ptCount val="1"/>
                <c:pt idx="0">
                  <c:v>Planetary Boundaries</c:v>
                </c:pt>
              </c:strCache>
            </c:strRef>
          </c:tx>
          <c:spPr>
            <a:solidFill>
              <a:schemeClr val="accent6">
                <a:lumMod val="40000"/>
                <a:lumOff val="60000"/>
                <a:alpha val="29000"/>
              </a:schemeClr>
            </a:solidFill>
            <a:ln>
              <a:noFill/>
            </a:ln>
            <a:effectLst/>
          </c:spPr>
          <c:val>
            <c:numRef>
              <c:f>'S14_Upscaled LCA'!$O$5:$O$7</c:f>
              <c:numCache>
                <c:formatCode>0.00E+00</c:formatCode>
                <c:ptCount val="3"/>
                <c:pt idx="0">
                  <c:v>4.7399999999999998E-2</c:v>
                </c:pt>
                <c:pt idx="1">
                  <c:v>4.7399999999999998E-2</c:v>
                </c:pt>
                <c:pt idx="2">
                  <c:v>4.7399999999999998E-2</c:v>
                </c:pt>
              </c:numCache>
            </c:numRef>
          </c:val>
          <c:extLst>
            <c:ext xmlns:c16="http://schemas.microsoft.com/office/drawing/2014/chart" uri="{C3380CC4-5D6E-409C-BE32-E72D297353CC}">
              <c16:uniqueId val="{00000002-F4E6-4BCB-9DE1-25DE368C0A04}"/>
            </c:ext>
          </c:extLst>
        </c:ser>
        <c:dLbls>
          <c:showLegendKey val="0"/>
          <c:showVal val="0"/>
          <c:showCatName val="0"/>
          <c:showSerName val="0"/>
          <c:showPercent val="0"/>
          <c:showBubbleSize val="0"/>
        </c:dLbls>
        <c:axId val="1626730575"/>
        <c:axId val="1626728655"/>
      </c:areaChart>
      <c:barChart>
        <c:barDir val="col"/>
        <c:grouping val="stacked"/>
        <c:varyColors val="0"/>
        <c:ser>
          <c:idx val="0"/>
          <c:order val="0"/>
          <c:tx>
            <c:strRef>
              <c:f>'S14_Upscaled LCA'!$J$1</c:f>
              <c:strCache>
                <c:ptCount val="1"/>
                <c:pt idx="0">
                  <c:v>Processing Tomatoes at Farm Gate</c:v>
                </c:pt>
              </c:strCache>
            </c:strRef>
          </c:tx>
          <c:spPr>
            <a:solidFill>
              <a:srgbClr val="A2C8D0"/>
            </a:solidFill>
            <a:ln>
              <a:noFill/>
            </a:ln>
            <a:effectLst/>
          </c:spPr>
          <c:invertIfNegative val="0"/>
          <c:cat>
            <c:strRef>
              <c:f>'S14_Upscaled LCA'!$I$5:$I$7</c:f>
              <c:strCache>
                <c:ptCount val="3"/>
                <c:pt idx="0">
                  <c:v>BAU (No Reuse) </c:v>
                </c:pt>
                <c:pt idx="1">
                  <c:v>WR_1 (Reuse)</c:v>
                </c:pt>
                <c:pt idx="2">
                  <c:v>WR_2 (Reuse)</c:v>
                </c:pt>
              </c:strCache>
            </c:strRef>
          </c:cat>
          <c:val>
            <c:numRef>
              <c:f>'S14_Upscaled LCA'!$J$5:$J$7</c:f>
              <c:numCache>
                <c:formatCode>0.00E+00</c:formatCode>
                <c:ptCount val="3"/>
                <c:pt idx="0">
                  <c:v>9.4632999999999995E-2</c:v>
                </c:pt>
                <c:pt idx="1">
                  <c:v>8.1046999999999994E-2</c:v>
                </c:pt>
                <c:pt idx="2">
                  <c:v>8.1046999999999994E-2</c:v>
                </c:pt>
              </c:numCache>
            </c:numRef>
          </c:val>
          <c:extLst>
            <c:ext xmlns:c16="http://schemas.microsoft.com/office/drawing/2014/chart" uri="{C3380CC4-5D6E-409C-BE32-E72D297353CC}">
              <c16:uniqueId val="{00000000-1860-48A0-9AA6-C862EFDD8062}"/>
            </c:ext>
          </c:extLst>
        </c:ser>
        <c:ser>
          <c:idx val="1"/>
          <c:order val="1"/>
          <c:tx>
            <c:strRef>
              <c:f>'S14_Upscaled LCA'!$K$1</c:f>
              <c:strCache>
                <c:ptCount val="1"/>
                <c:pt idx="0">
                  <c:v>Wastewater Discharge </c:v>
                </c:pt>
              </c:strCache>
            </c:strRef>
          </c:tx>
          <c:spPr>
            <a:solidFill>
              <a:srgbClr val="C99B38"/>
            </a:solidFill>
            <a:ln>
              <a:noFill/>
            </a:ln>
            <a:effectLst/>
          </c:spPr>
          <c:invertIfNegative val="0"/>
          <c:cat>
            <c:strRef>
              <c:f>'S14_Upscaled LCA'!$I$5:$I$7</c:f>
              <c:strCache>
                <c:ptCount val="3"/>
                <c:pt idx="0">
                  <c:v>BAU (No Reuse) </c:v>
                </c:pt>
                <c:pt idx="1">
                  <c:v>WR_1 (Reuse)</c:v>
                </c:pt>
                <c:pt idx="2">
                  <c:v>WR_2 (Reuse)</c:v>
                </c:pt>
              </c:strCache>
            </c:strRef>
          </c:cat>
          <c:val>
            <c:numRef>
              <c:f>'S14_Upscaled LCA'!$K$5:$K$7</c:f>
              <c:numCache>
                <c:formatCode>0.00E+00</c:formatCode>
                <c:ptCount val="3"/>
                <c:pt idx="0">
                  <c:v>2.6190999999999999E-2</c:v>
                </c:pt>
                <c:pt idx="1">
                  <c:v>6.7010000000000004E-3</c:v>
                </c:pt>
                <c:pt idx="2">
                  <c:v>6.7010000000000004E-3</c:v>
                </c:pt>
              </c:numCache>
            </c:numRef>
          </c:val>
          <c:extLst>
            <c:ext xmlns:c16="http://schemas.microsoft.com/office/drawing/2014/chart" uri="{C3380CC4-5D6E-409C-BE32-E72D297353CC}">
              <c16:uniqueId val="{00000001-1860-48A0-9AA6-C862EFDD8062}"/>
            </c:ext>
          </c:extLst>
        </c:ser>
        <c:ser>
          <c:idx val="2"/>
          <c:order val="2"/>
          <c:tx>
            <c:strRef>
              <c:f>'S14_Upscaled LCA'!$L$1</c:f>
              <c:strCache>
                <c:ptCount val="1"/>
                <c:pt idx="0">
                  <c:v>Irrigation Groundwater</c:v>
                </c:pt>
              </c:strCache>
            </c:strRef>
          </c:tx>
          <c:spPr>
            <a:solidFill>
              <a:srgbClr val="00B0BE"/>
            </a:solidFill>
            <a:ln>
              <a:noFill/>
            </a:ln>
            <a:effectLst/>
          </c:spPr>
          <c:invertIfNegative val="0"/>
          <c:cat>
            <c:strRef>
              <c:f>'S14_Upscaled LCA'!$I$5:$I$7</c:f>
              <c:strCache>
                <c:ptCount val="3"/>
                <c:pt idx="0">
                  <c:v>BAU (No Reuse) </c:v>
                </c:pt>
                <c:pt idx="1">
                  <c:v>WR_1 (Reuse)</c:v>
                </c:pt>
                <c:pt idx="2">
                  <c:v>WR_2 (Reuse)</c:v>
                </c:pt>
              </c:strCache>
            </c:strRef>
          </c:cat>
          <c:val>
            <c:numRef>
              <c:f>'S14_Upscaled LCA'!$L$5:$L$7</c:f>
              <c:numCache>
                <c:formatCode>0.00E+00</c:formatCode>
                <c:ptCount val="3"/>
                <c:pt idx="0">
                  <c:v>5.7499999999999999E-3</c:v>
                </c:pt>
                <c:pt idx="1">
                  <c:v>0</c:v>
                </c:pt>
                <c:pt idx="2">
                  <c:v>0</c:v>
                </c:pt>
              </c:numCache>
            </c:numRef>
          </c:val>
          <c:extLst>
            <c:ext xmlns:c16="http://schemas.microsoft.com/office/drawing/2014/chart" uri="{C3380CC4-5D6E-409C-BE32-E72D297353CC}">
              <c16:uniqueId val="{00000000-F4E6-4BCB-9DE1-25DE368C0A04}"/>
            </c:ext>
          </c:extLst>
        </c:ser>
        <c:ser>
          <c:idx val="3"/>
          <c:order val="3"/>
          <c:tx>
            <c:strRef>
              <c:f>'S14_Upscaled LCA'!$M$1</c:f>
              <c:strCache>
                <c:ptCount val="1"/>
                <c:pt idx="0">
                  <c:v>Irrigation Reused Water</c:v>
                </c:pt>
              </c:strCache>
            </c:strRef>
          </c:tx>
          <c:spPr>
            <a:solidFill>
              <a:srgbClr val="EDDCA5"/>
            </a:solidFill>
            <a:ln>
              <a:noFill/>
            </a:ln>
            <a:effectLst/>
          </c:spPr>
          <c:invertIfNegative val="0"/>
          <c:cat>
            <c:strRef>
              <c:f>'S14_Upscaled LCA'!$I$5:$I$7</c:f>
              <c:strCache>
                <c:ptCount val="3"/>
                <c:pt idx="0">
                  <c:v>BAU (No Reuse) </c:v>
                </c:pt>
                <c:pt idx="1">
                  <c:v>WR_1 (Reuse)</c:v>
                </c:pt>
                <c:pt idx="2">
                  <c:v>WR_2 (Reuse)</c:v>
                </c:pt>
              </c:strCache>
            </c:strRef>
          </c:cat>
          <c:val>
            <c:numRef>
              <c:f>'S14_Upscaled LCA'!$M$5:$M$7</c:f>
              <c:numCache>
                <c:formatCode>0.00E+00</c:formatCode>
                <c:ptCount val="3"/>
                <c:pt idx="0">
                  <c:v>0</c:v>
                </c:pt>
                <c:pt idx="1">
                  <c:v>8.0599999999999995E-3</c:v>
                </c:pt>
                <c:pt idx="2">
                  <c:v>6.2862224000000003E-3</c:v>
                </c:pt>
              </c:numCache>
            </c:numRef>
          </c:val>
          <c:extLst>
            <c:ext xmlns:c16="http://schemas.microsoft.com/office/drawing/2014/chart" uri="{C3380CC4-5D6E-409C-BE32-E72D297353CC}">
              <c16:uniqueId val="{00000001-F4E6-4BCB-9DE1-25DE368C0A04}"/>
            </c:ext>
          </c:extLst>
        </c:ser>
        <c:dLbls>
          <c:showLegendKey val="0"/>
          <c:showVal val="0"/>
          <c:showCatName val="0"/>
          <c:showSerName val="0"/>
          <c:showPercent val="0"/>
          <c:showBubbleSize val="0"/>
        </c:dLbls>
        <c:gapWidth val="20"/>
        <c:overlap val="100"/>
        <c:axId val="1626730575"/>
        <c:axId val="1626728655"/>
      </c:barChart>
      <c:catAx>
        <c:axId val="162673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28655"/>
        <c:crosses val="autoZero"/>
        <c:auto val="1"/>
        <c:lblAlgn val="ctr"/>
        <c:lblOffset val="100"/>
        <c:noMultiLvlLbl val="0"/>
      </c:catAx>
      <c:valAx>
        <c:axId val="1626728655"/>
        <c:scaling>
          <c:orientation val="minMax"/>
        </c:scaling>
        <c:delete val="0"/>
        <c:axPos val="l"/>
        <c:majorGridlines>
          <c:spPr>
            <a:ln w="6350" cap="flat" cmpd="sng" algn="ctr">
              <a:solidFill>
                <a:schemeClr val="tx1">
                  <a:lumMod val="15000"/>
                  <a:lumOff val="85000"/>
                </a:schemeClr>
              </a:solidFill>
              <a:prstDash val="lgDash"/>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30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r>
              <a:rPr lang="en-GB" sz="1200" b="1"/>
              <a:t>Ecotoxicity</a:t>
            </a:r>
            <a:r>
              <a:rPr lang="en-GB" sz="1200" b="1" baseline="0"/>
              <a:t> </a:t>
            </a:r>
            <a:r>
              <a:rPr lang="en-GB" sz="1200" b="1"/>
              <a:t>(kg of tomatoes/</a:t>
            </a:r>
            <a:r>
              <a:rPr lang="en-GB" sz="1200" b="1" baseline="0"/>
              <a:t> CTU</a:t>
            </a:r>
            <a:r>
              <a:rPr lang="en-GB" sz="1200" b="1" baseline="-25000"/>
              <a:t>e</a:t>
            </a:r>
            <a:r>
              <a:rPr lang="en-GB" sz="1200" b="1"/>
              <a:t>)</a:t>
            </a:r>
          </a:p>
        </c:rich>
      </c:tx>
      <c:layout>
        <c:manualLayout>
          <c:xMode val="edge"/>
          <c:yMode val="edge"/>
          <c:x val="0.24144810123627244"/>
          <c:y val="1.97808706742695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GB"/>
        </a:p>
      </c:txPr>
    </c:title>
    <c:autoTitleDeleted val="0"/>
    <c:plotArea>
      <c:layout>
        <c:manualLayout>
          <c:layoutTarget val="inner"/>
          <c:xMode val="edge"/>
          <c:yMode val="edge"/>
          <c:x val="0.1643788789840355"/>
          <c:y val="8.6365417430885452E-2"/>
          <c:w val="0.80544987877393248"/>
          <c:h val="0.80770904060299131"/>
        </c:manualLayout>
      </c:layout>
      <c:areaChart>
        <c:grouping val="stacked"/>
        <c:varyColors val="0"/>
        <c:ser>
          <c:idx val="4"/>
          <c:order val="4"/>
          <c:tx>
            <c:strRef>
              <c:f>'S14_Upscaled LCA'!$O$1</c:f>
              <c:strCache>
                <c:ptCount val="1"/>
                <c:pt idx="0">
                  <c:v>Planetary Boundaries</c:v>
                </c:pt>
              </c:strCache>
            </c:strRef>
          </c:tx>
          <c:spPr>
            <a:solidFill>
              <a:schemeClr val="accent6">
                <a:lumMod val="40000"/>
                <a:lumOff val="60000"/>
                <a:alpha val="29000"/>
              </a:schemeClr>
            </a:solidFill>
            <a:ln>
              <a:noFill/>
            </a:ln>
            <a:effectLst/>
          </c:spPr>
          <c:val>
            <c:numRef>
              <c:f>'S14_Upscaled LCA'!$O$8:$O$10</c:f>
              <c:numCache>
                <c:formatCode>0.00E+00</c:formatCode>
                <c:ptCount val="3"/>
                <c:pt idx="0">
                  <c:v>0.91400000000000003</c:v>
                </c:pt>
                <c:pt idx="1">
                  <c:v>0.91400000000000003</c:v>
                </c:pt>
                <c:pt idx="2">
                  <c:v>0.91400000000000003</c:v>
                </c:pt>
              </c:numCache>
            </c:numRef>
          </c:val>
          <c:extLst>
            <c:ext xmlns:c16="http://schemas.microsoft.com/office/drawing/2014/chart" uri="{C3380CC4-5D6E-409C-BE32-E72D297353CC}">
              <c16:uniqueId val="{00000002-04C3-4EBF-A14D-DCF36EB87C8D}"/>
            </c:ext>
          </c:extLst>
        </c:ser>
        <c:dLbls>
          <c:showLegendKey val="0"/>
          <c:showVal val="0"/>
          <c:showCatName val="0"/>
          <c:showSerName val="0"/>
          <c:showPercent val="0"/>
          <c:showBubbleSize val="0"/>
        </c:dLbls>
        <c:axId val="1626730575"/>
        <c:axId val="1626728655"/>
      </c:areaChart>
      <c:barChart>
        <c:barDir val="col"/>
        <c:grouping val="stacked"/>
        <c:varyColors val="0"/>
        <c:ser>
          <c:idx val="0"/>
          <c:order val="0"/>
          <c:tx>
            <c:strRef>
              <c:f>'S14_Upscaled LCA'!$J$1</c:f>
              <c:strCache>
                <c:ptCount val="1"/>
                <c:pt idx="0">
                  <c:v>Processing Tomatoes at Farm Gate</c:v>
                </c:pt>
              </c:strCache>
            </c:strRef>
          </c:tx>
          <c:spPr>
            <a:solidFill>
              <a:srgbClr val="A2C8D0"/>
            </a:solidFill>
            <a:ln>
              <a:noFill/>
            </a:ln>
            <a:effectLst/>
          </c:spPr>
          <c:invertIfNegative val="0"/>
          <c:cat>
            <c:strRef>
              <c:f>'S14_Upscaled LCA'!$I$8:$I$10</c:f>
              <c:strCache>
                <c:ptCount val="3"/>
                <c:pt idx="0">
                  <c:v>BAU (No Reuse) </c:v>
                </c:pt>
                <c:pt idx="1">
                  <c:v>WR_1 (Reuse)</c:v>
                </c:pt>
                <c:pt idx="2">
                  <c:v>WR_2 (Reuse)</c:v>
                </c:pt>
              </c:strCache>
            </c:strRef>
          </c:cat>
          <c:val>
            <c:numRef>
              <c:f>'S14_Upscaled LCA'!$J$8:$J$10</c:f>
              <c:numCache>
                <c:formatCode>0.00E+00</c:formatCode>
                <c:ptCount val="3"/>
                <c:pt idx="0">
                  <c:v>13.02375</c:v>
                </c:pt>
                <c:pt idx="1">
                  <c:v>12.75403</c:v>
                </c:pt>
                <c:pt idx="2">
                  <c:v>12.75403</c:v>
                </c:pt>
              </c:numCache>
            </c:numRef>
          </c:val>
          <c:extLst>
            <c:ext xmlns:c16="http://schemas.microsoft.com/office/drawing/2014/chart" uri="{C3380CC4-5D6E-409C-BE32-E72D297353CC}">
              <c16:uniqueId val="{00000000-A52E-4442-9F34-BB2C4F31A266}"/>
            </c:ext>
          </c:extLst>
        </c:ser>
        <c:ser>
          <c:idx val="1"/>
          <c:order val="1"/>
          <c:tx>
            <c:strRef>
              <c:f>'S14_Upscaled LCA'!$K$1</c:f>
              <c:strCache>
                <c:ptCount val="1"/>
                <c:pt idx="0">
                  <c:v>Wastewater Discharge </c:v>
                </c:pt>
              </c:strCache>
            </c:strRef>
          </c:tx>
          <c:spPr>
            <a:solidFill>
              <a:srgbClr val="C99B38"/>
            </a:solidFill>
            <a:ln>
              <a:noFill/>
            </a:ln>
            <a:effectLst/>
          </c:spPr>
          <c:invertIfNegative val="0"/>
          <c:cat>
            <c:strRef>
              <c:f>'S14_Upscaled LCA'!$I$8:$I$10</c:f>
              <c:strCache>
                <c:ptCount val="3"/>
                <c:pt idx="0">
                  <c:v>BAU (No Reuse) </c:v>
                </c:pt>
                <c:pt idx="1">
                  <c:v>WR_1 (Reuse)</c:v>
                </c:pt>
                <c:pt idx="2">
                  <c:v>WR_2 (Reuse)</c:v>
                </c:pt>
              </c:strCache>
            </c:strRef>
          </c:cat>
          <c:val>
            <c:numRef>
              <c:f>'S14_Upscaled LCA'!$K$8:$K$10</c:f>
              <c:numCache>
                <c:formatCode>0.00E+00</c:formatCode>
                <c:ptCount val="3"/>
                <c:pt idx="0">
                  <c:v>4.8519600000000001</c:v>
                </c:pt>
                <c:pt idx="1">
                  <c:v>2.3947539999999998</c:v>
                </c:pt>
                <c:pt idx="2">
                  <c:v>2.3947539999999998</c:v>
                </c:pt>
              </c:numCache>
            </c:numRef>
          </c:val>
          <c:extLst>
            <c:ext xmlns:c16="http://schemas.microsoft.com/office/drawing/2014/chart" uri="{C3380CC4-5D6E-409C-BE32-E72D297353CC}">
              <c16:uniqueId val="{00000001-A52E-4442-9F34-BB2C4F31A266}"/>
            </c:ext>
          </c:extLst>
        </c:ser>
        <c:ser>
          <c:idx val="2"/>
          <c:order val="2"/>
          <c:tx>
            <c:strRef>
              <c:f>'S14_Upscaled LCA'!$L$1</c:f>
              <c:strCache>
                <c:ptCount val="1"/>
                <c:pt idx="0">
                  <c:v>Irrigation Groundwater</c:v>
                </c:pt>
              </c:strCache>
            </c:strRef>
          </c:tx>
          <c:spPr>
            <a:solidFill>
              <a:srgbClr val="00B0BE"/>
            </a:solidFill>
            <a:ln>
              <a:noFill/>
            </a:ln>
            <a:effectLst/>
          </c:spPr>
          <c:invertIfNegative val="0"/>
          <c:cat>
            <c:strRef>
              <c:f>'S14_Upscaled LCA'!$I$8:$I$10</c:f>
              <c:strCache>
                <c:ptCount val="3"/>
                <c:pt idx="0">
                  <c:v>BAU (No Reuse) </c:v>
                </c:pt>
                <c:pt idx="1">
                  <c:v>WR_1 (Reuse)</c:v>
                </c:pt>
                <c:pt idx="2">
                  <c:v>WR_2 (Reuse)</c:v>
                </c:pt>
              </c:strCache>
            </c:strRef>
          </c:cat>
          <c:val>
            <c:numRef>
              <c:f>'S14_Upscaled LCA'!$L$8:$L$10</c:f>
              <c:numCache>
                <c:formatCode>0.00E+00</c:formatCode>
                <c:ptCount val="3"/>
                <c:pt idx="0">
                  <c:v>3.3519E-2</c:v>
                </c:pt>
                <c:pt idx="1">
                  <c:v>0</c:v>
                </c:pt>
                <c:pt idx="2">
                  <c:v>0</c:v>
                </c:pt>
              </c:numCache>
            </c:numRef>
          </c:val>
          <c:extLst>
            <c:ext xmlns:c16="http://schemas.microsoft.com/office/drawing/2014/chart" uri="{C3380CC4-5D6E-409C-BE32-E72D297353CC}">
              <c16:uniqueId val="{00000000-04C3-4EBF-A14D-DCF36EB87C8D}"/>
            </c:ext>
          </c:extLst>
        </c:ser>
        <c:ser>
          <c:idx val="3"/>
          <c:order val="3"/>
          <c:tx>
            <c:strRef>
              <c:f>'S14_Upscaled LCA'!$M$1</c:f>
              <c:strCache>
                <c:ptCount val="1"/>
                <c:pt idx="0">
                  <c:v>Irrigation Reused Water</c:v>
                </c:pt>
              </c:strCache>
            </c:strRef>
          </c:tx>
          <c:spPr>
            <a:solidFill>
              <a:srgbClr val="EDDCA5"/>
            </a:solidFill>
            <a:ln>
              <a:noFill/>
            </a:ln>
            <a:effectLst/>
          </c:spPr>
          <c:invertIfNegative val="0"/>
          <c:cat>
            <c:strRef>
              <c:f>'S14_Upscaled LCA'!$I$8:$I$10</c:f>
              <c:strCache>
                <c:ptCount val="3"/>
                <c:pt idx="0">
                  <c:v>BAU (No Reuse) </c:v>
                </c:pt>
                <c:pt idx="1">
                  <c:v>WR_1 (Reuse)</c:v>
                </c:pt>
                <c:pt idx="2">
                  <c:v>WR_2 (Reuse)</c:v>
                </c:pt>
              </c:strCache>
            </c:strRef>
          </c:cat>
          <c:val>
            <c:numRef>
              <c:f>'S14_Upscaled LCA'!$M$8:$M$10</c:f>
              <c:numCache>
                <c:formatCode>0.00E+00</c:formatCode>
                <c:ptCount val="3"/>
                <c:pt idx="0">
                  <c:v>0</c:v>
                </c:pt>
                <c:pt idx="1">
                  <c:v>2.1473789999999999</c:v>
                </c:pt>
                <c:pt idx="2">
                  <c:v>2.3665033000000002</c:v>
                </c:pt>
              </c:numCache>
            </c:numRef>
          </c:val>
          <c:extLst>
            <c:ext xmlns:c16="http://schemas.microsoft.com/office/drawing/2014/chart" uri="{C3380CC4-5D6E-409C-BE32-E72D297353CC}">
              <c16:uniqueId val="{00000001-04C3-4EBF-A14D-DCF36EB87C8D}"/>
            </c:ext>
          </c:extLst>
        </c:ser>
        <c:dLbls>
          <c:showLegendKey val="0"/>
          <c:showVal val="0"/>
          <c:showCatName val="0"/>
          <c:showSerName val="0"/>
          <c:showPercent val="0"/>
          <c:showBubbleSize val="0"/>
        </c:dLbls>
        <c:gapWidth val="20"/>
        <c:overlap val="100"/>
        <c:axId val="1626730575"/>
        <c:axId val="1626728655"/>
      </c:barChart>
      <c:catAx>
        <c:axId val="162673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28655"/>
        <c:crosses val="autoZero"/>
        <c:auto val="1"/>
        <c:lblAlgn val="ctr"/>
        <c:lblOffset val="100"/>
        <c:noMultiLvlLbl val="0"/>
      </c:catAx>
      <c:valAx>
        <c:axId val="1626728655"/>
        <c:scaling>
          <c:orientation val="minMax"/>
        </c:scaling>
        <c:delete val="0"/>
        <c:axPos val="l"/>
        <c:majorGridlines>
          <c:spPr>
            <a:ln w="6350" cap="flat" cmpd="sng" algn="ctr">
              <a:solidFill>
                <a:schemeClr val="tx1">
                  <a:lumMod val="15000"/>
                  <a:lumOff val="85000"/>
                </a:schemeClr>
              </a:solidFill>
              <a:prstDash val="lgDash"/>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30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r>
              <a:rPr lang="en-GB" sz="1200" b="1"/>
              <a:t>Marine</a:t>
            </a:r>
            <a:r>
              <a:rPr lang="en-GB" sz="1200" b="1" baseline="0"/>
              <a:t> Eutrophication </a:t>
            </a:r>
            <a:r>
              <a:rPr lang="en-GB" sz="1200" b="1"/>
              <a:t>(kg of tomatoes/</a:t>
            </a:r>
            <a:r>
              <a:rPr lang="en-GB" sz="1200" b="1" baseline="0"/>
              <a:t> kg N eq.</a:t>
            </a:r>
            <a:r>
              <a:rPr lang="en-GB" sz="1200" b="1"/>
              <a:t>)</a:t>
            </a:r>
          </a:p>
        </c:rich>
      </c:tx>
      <c:layout>
        <c:manualLayout>
          <c:xMode val="edge"/>
          <c:yMode val="edge"/>
          <c:x val="0.1638138888888889"/>
          <c:y val="2.5660416666666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GB"/>
        </a:p>
      </c:txPr>
    </c:title>
    <c:autoTitleDeleted val="0"/>
    <c:plotArea>
      <c:layout>
        <c:manualLayout>
          <c:layoutTarget val="inner"/>
          <c:xMode val="edge"/>
          <c:yMode val="edge"/>
          <c:x val="0.1643788789840355"/>
          <c:y val="8.6365417430885452E-2"/>
          <c:w val="0.80544987877393248"/>
          <c:h val="0.80770904060299131"/>
        </c:manualLayout>
      </c:layout>
      <c:areaChart>
        <c:grouping val="standard"/>
        <c:varyColors val="0"/>
        <c:ser>
          <c:idx val="4"/>
          <c:order val="4"/>
          <c:tx>
            <c:strRef>
              <c:f>'S14_Upscaled LCA'!$O$1</c:f>
              <c:strCache>
                <c:ptCount val="1"/>
                <c:pt idx="0">
                  <c:v>Planetary Boundaries</c:v>
                </c:pt>
              </c:strCache>
            </c:strRef>
          </c:tx>
          <c:spPr>
            <a:solidFill>
              <a:schemeClr val="accent6">
                <a:lumMod val="40000"/>
                <a:lumOff val="60000"/>
                <a:alpha val="29000"/>
              </a:schemeClr>
            </a:solidFill>
            <a:ln>
              <a:noFill/>
            </a:ln>
            <a:effectLst/>
          </c:spPr>
          <c:val>
            <c:numRef>
              <c:f>'S14_Upscaled LCA'!$O$11:$O$13</c:f>
              <c:numCache>
                <c:formatCode>0.00E+00</c:formatCode>
                <c:ptCount val="3"/>
                <c:pt idx="0">
                  <c:v>1.39E-3</c:v>
                </c:pt>
                <c:pt idx="1">
                  <c:v>1.39E-3</c:v>
                </c:pt>
                <c:pt idx="2">
                  <c:v>1.39E-3</c:v>
                </c:pt>
              </c:numCache>
            </c:numRef>
          </c:val>
          <c:extLst>
            <c:ext xmlns:c16="http://schemas.microsoft.com/office/drawing/2014/chart" uri="{C3380CC4-5D6E-409C-BE32-E72D297353CC}">
              <c16:uniqueId val="{00000002-17BC-41B2-934E-6940083ABCA8}"/>
            </c:ext>
          </c:extLst>
        </c:ser>
        <c:dLbls>
          <c:showLegendKey val="0"/>
          <c:showVal val="0"/>
          <c:showCatName val="0"/>
          <c:showSerName val="0"/>
          <c:showPercent val="0"/>
          <c:showBubbleSize val="0"/>
        </c:dLbls>
        <c:axId val="1626730575"/>
        <c:axId val="1626728655"/>
      </c:areaChart>
      <c:barChart>
        <c:barDir val="col"/>
        <c:grouping val="stacked"/>
        <c:varyColors val="0"/>
        <c:ser>
          <c:idx val="0"/>
          <c:order val="0"/>
          <c:tx>
            <c:strRef>
              <c:f>'S14_Upscaled LCA'!$J$1</c:f>
              <c:strCache>
                <c:ptCount val="1"/>
                <c:pt idx="0">
                  <c:v>Processing Tomatoes at Farm Gate</c:v>
                </c:pt>
              </c:strCache>
            </c:strRef>
          </c:tx>
          <c:spPr>
            <a:solidFill>
              <a:srgbClr val="A2C8D0"/>
            </a:solidFill>
            <a:ln>
              <a:noFill/>
            </a:ln>
            <a:effectLst/>
          </c:spPr>
          <c:invertIfNegative val="0"/>
          <c:cat>
            <c:strRef>
              <c:f>'S14_Upscaled LCA'!$I$11:$I$13</c:f>
              <c:strCache>
                <c:ptCount val="3"/>
                <c:pt idx="0">
                  <c:v>BAU (No Reuse) </c:v>
                </c:pt>
                <c:pt idx="1">
                  <c:v>WR_1 (Reuse)</c:v>
                </c:pt>
                <c:pt idx="2">
                  <c:v>WR_2 (Reuse)</c:v>
                </c:pt>
              </c:strCache>
            </c:strRef>
          </c:cat>
          <c:val>
            <c:numRef>
              <c:f>'S14_Upscaled LCA'!$J$11:$J$13</c:f>
              <c:numCache>
                <c:formatCode>0.00E+00</c:formatCode>
                <c:ptCount val="3"/>
                <c:pt idx="0">
                  <c:v>9.3499999999999996E-4</c:v>
                </c:pt>
                <c:pt idx="1">
                  <c:v>6.2600000000000004E-4</c:v>
                </c:pt>
                <c:pt idx="2">
                  <c:v>6.2600000000000004E-4</c:v>
                </c:pt>
              </c:numCache>
            </c:numRef>
          </c:val>
          <c:extLst>
            <c:ext xmlns:c16="http://schemas.microsoft.com/office/drawing/2014/chart" uri="{C3380CC4-5D6E-409C-BE32-E72D297353CC}">
              <c16:uniqueId val="{00000000-533C-4DF8-861A-8EA890D14685}"/>
            </c:ext>
          </c:extLst>
        </c:ser>
        <c:ser>
          <c:idx val="1"/>
          <c:order val="1"/>
          <c:tx>
            <c:strRef>
              <c:f>'S14_Upscaled LCA'!$K$1</c:f>
              <c:strCache>
                <c:ptCount val="1"/>
                <c:pt idx="0">
                  <c:v>Wastewater Discharge </c:v>
                </c:pt>
              </c:strCache>
            </c:strRef>
          </c:tx>
          <c:spPr>
            <a:solidFill>
              <a:srgbClr val="C99B38"/>
            </a:solidFill>
            <a:ln>
              <a:noFill/>
            </a:ln>
            <a:effectLst/>
          </c:spPr>
          <c:invertIfNegative val="0"/>
          <c:cat>
            <c:strRef>
              <c:f>'S14_Upscaled LCA'!$I$11:$I$13</c:f>
              <c:strCache>
                <c:ptCount val="3"/>
                <c:pt idx="0">
                  <c:v>BAU (No Reuse) </c:v>
                </c:pt>
                <c:pt idx="1">
                  <c:v>WR_1 (Reuse)</c:v>
                </c:pt>
                <c:pt idx="2">
                  <c:v>WR_2 (Reuse)</c:v>
                </c:pt>
              </c:strCache>
            </c:strRef>
          </c:cat>
          <c:val>
            <c:numRef>
              <c:f>'S14_Upscaled LCA'!$K$11:$K$13</c:f>
              <c:numCache>
                <c:formatCode>0.00E+00</c:formatCode>
                <c:ptCount val="3"/>
                <c:pt idx="0">
                  <c:v>1.2160000000000001E-3</c:v>
                </c:pt>
                <c:pt idx="1">
                  <c:v>5.9699999999999998E-4</c:v>
                </c:pt>
                <c:pt idx="2">
                  <c:v>5.9699999999999998E-4</c:v>
                </c:pt>
              </c:numCache>
            </c:numRef>
          </c:val>
          <c:extLst>
            <c:ext xmlns:c16="http://schemas.microsoft.com/office/drawing/2014/chart" uri="{C3380CC4-5D6E-409C-BE32-E72D297353CC}">
              <c16:uniqueId val="{00000001-533C-4DF8-861A-8EA890D14685}"/>
            </c:ext>
          </c:extLst>
        </c:ser>
        <c:ser>
          <c:idx val="2"/>
          <c:order val="2"/>
          <c:tx>
            <c:strRef>
              <c:f>'S14_Upscaled LCA'!$L$1</c:f>
              <c:strCache>
                <c:ptCount val="1"/>
                <c:pt idx="0">
                  <c:v>Irrigation Groundwater</c:v>
                </c:pt>
              </c:strCache>
            </c:strRef>
          </c:tx>
          <c:spPr>
            <a:solidFill>
              <a:srgbClr val="00B0BE"/>
            </a:solidFill>
            <a:ln>
              <a:noFill/>
            </a:ln>
            <a:effectLst/>
          </c:spPr>
          <c:invertIfNegative val="0"/>
          <c:cat>
            <c:strRef>
              <c:f>'S14_Upscaled LCA'!$I$11:$I$13</c:f>
              <c:strCache>
                <c:ptCount val="3"/>
                <c:pt idx="0">
                  <c:v>BAU (No Reuse) </c:v>
                </c:pt>
                <c:pt idx="1">
                  <c:v>WR_1 (Reuse)</c:v>
                </c:pt>
                <c:pt idx="2">
                  <c:v>WR_2 (Reuse)</c:v>
                </c:pt>
              </c:strCache>
            </c:strRef>
          </c:cat>
          <c:val>
            <c:numRef>
              <c:f>'S14_Upscaled LCA'!$L$11:$L$13</c:f>
              <c:numCache>
                <c:formatCode>0.00E+00</c:formatCode>
                <c:ptCount val="3"/>
                <c:pt idx="0">
                  <c:v>5.5600000000000001E-6</c:v>
                </c:pt>
                <c:pt idx="1">
                  <c:v>0</c:v>
                </c:pt>
                <c:pt idx="2">
                  <c:v>0</c:v>
                </c:pt>
              </c:numCache>
            </c:numRef>
          </c:val>
          <c:extLst>
            <c:ext xmlns:c16="http://schemas.microsoft.com/office/drawing/2014/chart" uri="{C3380CC4-5D6E-409C-BE32-E72D297353CC}">
              <c16:uniqueId val="{00000000-17BC-41B2-934E-6940083ABCA8}"/>
            </c:ext>
          </c:extLst>
        </c:ser>
        <c:ser>
          <c:idx val="3"/>
          <c:order val="3"/>
          <c:tx>
            <c:strRef>
              <c:f>'S14_Upscaled LCA'!$M$1</c:f>
              <c:strCache>
                <c:ptCount val="1"/>
                <c:pt idx="0">
                  <c:v>Irrigation Reused Water</c:v>
                </c:pt>
              </c:strCache>
            </c:strRef>
          </c:tx>
          <c:spPr>
            <a:solidFill>
              <a:srgbClr val="EDDCA5"/>
            </a:solidFill>
            <a:ln>
              <a:noFill/>
            </a:ln>
            <a:effectLst/>
          </c:spPr>
          <c:invertIfNegative val="0"/>
          <c:cat>
            <c:strRef>
              <c:f>'S14_Upscaled LCA'!$I$11:$I$13</c:f>
              <c:strCache>
                <c:ptCount val="3"/>
                <c:pt idx="0">
                  <c:v>BAU (No Reuse) </c:v>
                </c:pt>
                <c:pt idx="1">
                  <c:v>WR_1 (Reuse)</c:v>
                </c:pt>
                <c:pt idx="2">
                  <c:v>WR_2 (Reuse)</c:v>
                </c:pt>
              </c:strCache>
            </c:strRef>
          </c:cat>
          <c:val>
            <c:numRef>
              <c:f>'S14_Upscaled LCA'!$M$11:$M$13</c:f>
              <c:numCache>
                <c:formatCode>0.00E+00</c:formatCode>
                <c:ptCount val="3"/>
                <c:pt idx="0">
                  <c:v>0</c:v>
                </c:pt>
                <c:pt idx="1">
                  <c:v>5.9199999999999997E-4</c:v>
                </c:pt>
                <c:pt idx="2">
                  <c:v>5.8984827000000003E-4</c:v>
                </c:pt>
              </c:numCache>
            </c:numRef>
          </c:val>
          <c:extLst>
            <c:ext xmlns:c16="http://schemas.microsoft.com/office/drawing/2014/chart" uri="{C3380CC4-5D6E-409C-BE32-E72D297353CC}">
              <c16:uniqueId val="{00000001-17BC-41B2-934E-6940083ABCA8}"/>
            </c:ext>
          </c:extLst>
        </c:ser>
        <c:dLbls>
          <c:showLegendKey val="0"/>
          <c:showVal val="0"/>
          <c:showCatName val="0"/>
          <c:showSerName val="0"/>
          <c:showPercent val="0"/>
          <c:showBubbleSize val="0"/>
        </c:dLbls>
        <c:gapWidth val="20"/>
        <c:overlap val="100"/>
        <c:axId val="1626730575"/>
        <c:axId val="1626728655"/>
      </c:barChart>
      <c:catAx>
        <c:axId val="162673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28655"/>
        <c:crosses val="autoZero"/>
        <c:auto val="1"/>
        <c:lblAlgn val="ctr"/>
        <c:lblOffset val="100"/>
        <c:noMultiLvlLbl val="0"/>
      </c:catAx>
      <c:valAx>
        <c:axId val="1626728655"/>
        <c:scaling>
          <c:orientation val="minMax"/>
        </c:scaling>
        <c:delete val="0"/>
        <c:axPos val="l"/>
        <c:majorGridlines>
          <c:spPr>
            <a:ln w="6350" cap="flat" cmpd="sng" algn="ctr">
              <a:solidFill>
                <a:schemeClr val="tx1">
                  <a:lumMod val="15000"/>
                  <a:lumOff val="85000"/>
                </a:schemeClr>
              </a:solidFill>
              <a:prstDash val="lgDash"/>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30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cs typeface="Times New Roman" panose="02020603050405020304" pitchFamily="18"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r>
              <a:rPr lang="en-GB" sz="1100" b="1"/>
              <a:t>Freshwater</a:t>
            </a:r>
            <a:r>
              <a:rPr lang="en-GB" sz="1100" b="1" baseline="0"/>
              <a:t> Eutrophication </a:t>
            </a:r>
            <a:r>
              <a:rPr lang="en-GB" sz="1100" b="1"/>
              <a:t>(kg of tomatoes/ kg</a:t>
            </a:r>
            <a:r>
              <a:rPr lang="en-GB" sz="1100" b="1" baseline="-25000"/>
              <a:t> </a:t>
            </a:r>
            <a:r>
              <a:rPr lang="en-GB" sz="1100" b="1" baseline="0"/>
              <a:t>P eq.</a:t>
            </a:r>
            <a:r>
              <a:rPr lang="en-GB" sz="1100" b="1"/>
              <a:t>)</a:t>
            </a:r>
          </a:p>
        </c:rich>
      </c:tx>
      <c:layout>
        <c:manualLayout>
          <c:xMode val="edge"/>
          <c:yMode val="edge"/>
          <c:x val="0.10934328703703702"/>
          <c:y val="1.975486111111111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GB"/>
        </a:p>
      </c:txPr>
    </c:title>
    <c:autoTitleDeleted val="0"/>
    <c:plotArea>
      <c:layout>
        <c:manualLayout>
          <c:layoutTarget val="inner"/>
          <c:xMode val="edge"/>
          <c:yMode val="edge"/>
          <c:x val="0.1643788789840355"/>
          <c:y val="8.6365417430885452E-2"/>
          <c:w val="0.80544987877393248"/>
          <c:h val="0.80770904060299131"/>
        </c:manualLayout>
      </c:layout>
      <c:areaChart>
        <c:grouping val="standard"/>
        <c:varyColors val="0"/>
        <c:ser>
          <c:idx val="4"/>
          <c:order val="4"/>
          <c:tx>
            <c:strRef>
              <c:f>'S14_Upscaled LCA'!$O$1</c:f>
              <c:strCache>
                <c:ptCount val="1"/>
                <c:pt idx="0">
                  <c:v>Planetary Boundaries</c:v>
                </c:pt>
              </c:strCache>
            </c:strRef>
          </c:tx>
          <c:spPr>
            <a:solidFill>
              <a:schemeClr val="accent6">
                <a:lumMod val="40000"/>
                <a:lumOff val="60000"/>
                <a:alpha val="26000"/>
              </a:schemeClr>
            </a:solidFill>
            <a:ln>
              <a:noFill/>
            </a:ln>
            <a:effectLst/>
          </c:spPr>
          <c:val>
            <c:numRef>
              <c:f>'S14_Upscaled LCA'!$O$14:$O$16</c:f>
              <c:numCache>
                <c:formatCode>0.00E+00</c:formatCode>
                <c:ptCount val="3"/>
                <c:pt idx="0">
                  <c:v>4.0399999999999999E-5</c:v>
                </c:pt>
                <c:pt idx="1">
                  <c:v>4.0399999999999999E-5</c:v>
                </c:pt>
                <c:pt idx="2">
                  <c:v>4.0399999999999999E-5</c:v>
                </c:pt>
              </c:numCache>
            </c:numRef>
          </c:val>
          <c:extLst>
            <c:ext xmlns:c16="http://schemas.microsoft.com/office/drawing/2014/chart" uri="{C3380CC4-5D6E-409C-BE32-E72D297353CC}">
              <c16:uniqueId val="{00000002-0EBC-4F34-8B2C-85128E7F5F76}"/>
            </c:ext>
          </c:extLst>
        </c:ser>
        <c:dLbls>
          <c:showLegendKey val="0"/>
          <c:showVal val="0"/>
          <c:showCatName val="0"/>
          <c:showSerName val="0"/>
          <c:showPercent val="0"/>
          <c:showBubbleSize val="0"/>
        </c:dLbls>
        <c:axId val="1626730575"/>
        <c:axId val="1626728655"/>
      </c:areaChart>
      <c:barChart>
        <c:barDir val="col"/>
        <c:grouping val="stacked"/>
        <c:varyColors val="0"/>
        <c:ser>
          <c:idx val="0"/>
          <c:order val="0"/>
          <c:tx>
            <c:strRef>
              <c:f>'S14_Upscaled LCA'!$J$1</c:f>
              <c:strCache>
                <c:ptCount val="1"/>
                <c:pt idx="0">
                  <c:v>Processing Tomatoes at Farm Gate</c:v>
                </c:pt>
              </c:strCache>
            </c:strRef>
          </c:tx>
          <c:spPr>
            <a:solidFill>
              <a:srgbClr val="A2C8D0"/>
            </a:solidFill>
            <a:ln>
              <a:noFill/>
            </a:ln>
            <a:effectLst/>
          </c:spPr>
          <c:invertIfNegative val="0"/>
          <c:cat>
            <c:strRef>
              <c:f>'S14_Upscaled LCA'!$I$14:$I$16</c:f>
              <c:strCache>
                <c:ptCount val="3"/>
                <c:pt idx="0">
                  <c:v>BAU (No Reuse) </c:v>
                </c:pt>
                <c:pt idx="1">
                  <c:v>WR_1 (Reuse)</c:v>
                </c:pt>
                <c:pt idx="2">
                  <c:v>WR_2 (Reuse)</c:v>
                </c:pt>
              </c:strCache>
            </c:strRef>
          </c:cat>
          <c:val>
            <c:numRef>
              <c:f>'S14_Upscaled LCA'!$J$14:$J$16</c:f>
              <c:numCache>
                <c:formatCode>0.00E+00</c:formatCode>
                <c:ptCount val="3"/>
                <c:pt idx="0">
                  <c:v>1.9300000000000002E-5</c:v>
                </c:pt>
                <c:pt idx="1">
                  <c:v>1.73E-5</c:v>
                </c:pt>
                <c:pt idx="2">
                  <c:v>1.73E-5</c:v>
                </c:pt>
              </c:numCache>
            </c:numRef>
          </c:val>
          <c:extLst>
            <c:ext xmlns:c16="http://schemas.microsoft.com/office/drawing/2014/chart" uri="{C3380CC4-5D6E-409C-BE32-E72D297353CC}">
              <c16:uniqueId val="{00000000-53B9-46A3-8C7A-75F17F3A69D3}"/>
            </c:ext>
          </c:extLst>
        </c:ser>
        <c:ser>
          <c:idx val="1"/>
          <c:order val="1"/>
          <c:tx>
            <c:strRef>
              <c:f>'S14_Upscaled LCA'!$K$1</c:f>
              <c:strCache>
                <c:ptCount val="1"/>
                <c:pt idx="0">
                  <c:v>Wastewater Discharge </c:v>
                </c:pt>
              </c:strCache>
            </c:strRef>
          </c:tx>
          <c:spPr>
            <a:solidFill>
              <a:srgbClr val="C99B38"/>
            </a:solidFill>
            <a:ln>
              <a:noFill/>
            </a:ln>
            <a:effectLst/>
          </c:spPr>
          <c:invertIfNegative val="0"/>
          <c:cat>
            <c:strRef>
              <c:f>'S14_Upscaled LCA'!$I$14:$I$16</c:f>
              <c:strCache>
                <c:ptCount val="3"/>
                <c:pt idx="0">
                  <c:v>BAU (No Reuse) </c:v>
                </c:pt>
                <c:pt idx="1">
                  <c:v>WR_1 (Reuse)</c:v>
                </c:pt>
                <c:pt idx="2">
                  <c:v>WR_2 (Reuse)</c:v>
                </c:pt>
              </c:strCache>
            </c:strRef>
          </c:cat>
          <c:val>
            <c:numRef>
              <c:f>'S14_Upscaled LCA'!$K$14:$K$16</c:f>
              <c:numCache>
                <c:formatCode>0.00E+00</c:formatCode>
                <c:ptCount val="3"/>
                <c:pt idx="0">
                  <c:v>6.4999999999999994E-5</c:v>
                </c:pt>
                <c:pt idx="1">
                  <c:v>3.0000000000000001E-5</c:v>
                </c:pt>
                <c:pt idx="2">
                  <c:v>3.0000000000000001E-5</c:v>
                </c:pt>
              </c:numCache>
            </c:numRef>
          </c:val>
          <c:extLst>
            <c:ext xmlns:c16="http://schemas.microsoft.com/office/drawing/2014/chart" uri="{C3380CC4-5D6E-409C-BE32-E72D297353CC}">
              <c16:uniqueId val="{00000001-53B9-46A3-8C7A-75F17F3A69D3}"/>
            </c:ext>
          </c:extLst>
        </c:ser>
        <c:ser>
          <c:idx val="2"/>
          <c:order val="2"/>
          <c:tx>
            <c:strRef>
              <c:f>'S14_Upscaled LCA'!$L$1</c:f>
              <c:strCache>
                <c:ptCount val="1"/>
                <c:pt idx="0">
                  <c:v>Irrigation Groundwater</c:v>
                </c:pt>
              </c:strCache>
            </c:strRef>
          </c:tx>
          <c:spPr>
            <a:solidFill>
              <a:srgbClr val="00B0BE"/>
            </a:solidFill>
            <a:ln>
              <a:noFill/>
            </a:ln>
            <a:effectLst/>
          </c:spPr>
          <c:invertIfNegative val="0"/>
          <c:cat>
            <c:strRef>
              <c:f>'S14_Upscaled LCA'!$I$14:$I$16</c:f>
              <c:strCache>
                <c:ptCount val="3"/>
                <c:pt idx="0">
                  <c:v>BAU (No Reuse) </c:v>
                </c:pt>
                <c:pt idx="1">
                  <c:v>WR_1 (Reuse)</c:v>
                </c:pt>
                <c:pt idx="2">
                  <c:v>WR_2 (Reuse)</c:v>
                </c:pt>
              </c:strCache>
            </c:strRef>
          </c:cat>
          <c:val>
            <c:numRef>
              <c:f>'S14_Upscaled LCA'!$L$14:$L$16</c:f>
              <c:numCache>
                <c:formatCode>0.00E+00</c:formatCode>
                <c:ptCount val="3"/>
                <c:pt idx="0">
                  <c:v>2.65E-6</c:v>
                </c:pt>
                <c:pt idx="1">
                  <c:v>0</c:v>
                </c:pt>
                <c:pt idx="2">
                  <c:v>0</c:v>
                </c:pt>
              </c:numCache>
            </c:numRef>
          </c:val>
          <c:extLst>
            <c:ext xmlns:c16="http://schemas.microsoft.com/office/drawing/2014/chart" uri="{C3380CC4-5D6E-409C-BE32-E72D297353CC}">
              <c16:uniqueId val="{00000000-0EBC-4F34-8B2C-85128E7F5F76}"/>
            </c:ext>
          </c:extLst>
        </c:ser>
        <c:ser>
          <c:idx val="3"/>
          <c:order val="3"/>
          <c:tx>
            <c:strRef>
              <c:f>'S14_Upscaled LCA'!$M$1</c:f>
              <c:strCache>
                <c:ptCount val="1"/>
                <c:pt idx="0">
                  <c:v>Irrigation Reused Water</c:v>
                </c:pt>
              </c:strCache>
            </c:strRef>
          </c:tx>
          <c:spPr>
            <a:solidFill>
              <a:srgbClr val="EDDCA5"/>
            </a:solidFill>
            <a:ln>
              <a:noFill/>
            </a:ln>
            <a:effectLst/>
          </c:spPr>
          <c:invertIfNegative val="0"/>
          <c:cat>
            <c:strRef>
              <c:f>'S14_Upscaled LCA'!$I$14:$I$16</c:f>
              <c:strCache>
                <c:ptCount val="3"/>
                <c:pt idx="0">
                  <c:v>BAU (No Reuse) </c:v>
                </c:pt>
                <c:pt idx="1">
                  <c:v>WR_1 (Reuse)</c:v>
                </c:pt>
                <c:pt idx="2">
                  <c:v>WR_2 (Reuse)</c:v>
                </c:pt>
              </c:strCache>
            </c:strRef>
          </c:cat>
          <c:val>
            <c:numRef>
              <c:f>'S14_Upscaled LCA'!$M$14:$M$16</c:f>
              <c:numCache>
                <c:formatCode>0.00E+00</c:formatCode>
                <c:ptCount val="3"/>
                <c:pt idx="0">
                  <c:v>0</c:v>
                </c:pt>
                <c:pt idx="1">
                  <c:v>2.9899999999999998E-5</c:v>
                </c:pt>
                <c:pt idx="2">
                  <c:v>2.9536796000000001E-5</c:v>
                </c:pt>
              </c:numCache>
            </c:numRef>
          </c:val>
          <c:extLst>
            <c:ext xmlns:c16="http://schemas.microsoft.com/office/drawing/2014/chart" uri="{C3380CC4-5D6E-409C-BE32-E72D297353CC}">
              <c16:uniqueId val="{00000001-0EBC-4F34-8B2C-85128E7F5F76}"/>
            </c:ext>
          </c:extLst>
        </c:ser>
        <c:dLbls>
          <c:showLegendKey val="0"/>
          <c:showVal val="0"/>
          <c:showCatName val="0"/>
          <c:showSerName val="0"/>
          <c:showPercent val="0"/>
          <c:showBubbleSize val="0"/>
        </c:dLbls>
        <c:gapWidth val="20"/>
        <c:overlap val="100"/>
        <c:axId val="1626730575"/>
        <c:axId val="1626728655"/>
      </c:barChart>
      <c:catAx>
        <c:axId val="162673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28655"/>
        <c:crosses val="autoZero"/>
        <c:auto val="1"/>
        <c:lblAlgn val="ctr"/>
        <c:lblOffset val="100"/>
        <c:noMultiLvlLbl val="0"/>
      </c:catAx>
      <c:valAx>
        <c:axId val="1626728655"/>
        <c:scaling>
          <c:orientation val="minMax"/>
        </c:scaling>
        <c:delete val="0"/>
        <c:axPos val="l"/>
        <c:majorGridlines>
          <c:spPr>
            <a:ln w="6350" cap="flat" cmpd="sng" algn="ctr">
              <a:solidFill>
                <a:schemeClr val="tx1">
                  <a:lumMod val="15000"/>
                  <a:lumOff val="85000"/>
                </a:schemeClr>
              </a:solidFill>
              <a:prstDash val="lgDash"/>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30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cs typeface="Times New Roman" panose="02020603050405020304" pitchFamily="18"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r>
              <a:rPr lang="en-GB" sz="1100" b="1"/>
              <a:t>Human Toxicity, carcinogenic (kg of tomatoes/ CTU</a:t>
            </a:r>
            <a:r>
              <a:rPr lang="en-GB" sz="1100" b="1" baseline="-25000"/>
              <a:t>h</a:t>
            </a:r>
            <a:r>
              <a:rPr lang="en-GB" sz="1100" b="1" baseline="0"/>
              <a:t>)</a:t>
            </a:r>
            <a:endParaRPr lang="en-GB" sz="1100" b="1" baseline="-25000"/>
          </a:p>
        </c:rich>
      </c:tx>
      <c:layout>
        <c:manualLayout>
          <c:xMode val="edge"/>
          <c:yMode val="edge"/>
          <c:x val="0.12698217592592592"/>
          <c:y val="1.09354166666666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GB"/>
        </a:p>
      </c:txPr>
    </c:title>
    <c:autoTitleDeleted val="0"/>
    <c:plotArea>
      <c:layout>
        <c:manualLayout>
          <c:layoutTarget val="inner"/>
          <c:xMode val="edge"/>
          <c:yMode val="edge"/>
          <c:x val="0.1643788789840355"/>
          <c:y val="8.6365417430885452E-2"/>
          <c:w val="0.80544987877393248"/>
          <c:h val="0.80770904060299131"/>
        </c:manualLayout>
      </c:layout>
      <c:areaChart>
        <c:grouping val="standard"/>
        <c:varyColors val="0"/>
        <c:ser>
          <c:idx val="4"/>
          <c:order val="4"/>
          <c:tx>
            <c:strRef>
              <c:f>'S14_Upscaled LCA'!$O$1</c:f>
              <c:strCache>
                <c:ptCount val="1"/>
                <c:pt idx="0">
                  <c:v>Planetary Boundaries</c:v>
                </c:pt>
              </c:strCache>
            </c:strRef>
          </c:tx>
          <c:spPr>
            <a:solidFill>
              <a:schemeClr val="accent6">
                <a:lumMod val="40000"/>
                <a:lumOff val="60000"/>
                <a:alpha val="29000"/>
              </a:schemeClr>
            </a:solidFill>
            <a:ln>
              <a:noFill/>
            </a:ln>
            <a:effectLst/>
          </c:spPr>
          <c:val>
            <c:numRef>
              <c:f>'S14_Upscaled LCA'!$O$17:$O$19</c:f>
              <c:numCache>
                <c:formatCode>0.00E+00</c:formatCode>
                <c:ptCount val="3"/>
                <c:pt idx="0">
                  <c:v>6.6800000000000001E-9</c:v>
                </c:pt>
                <c:pt idx="1">
                  <c:v>6.6800000000000001E-9</c:v>
                </c:pt>
                <c:pt idx="2">
                  <c:v>6.6800000000000001E-9</c:v>
                </c:pt>
              </c:numCache>
            </c:numRef>
          </c:val>
          <c:extLst>
            <c:ext xmlns:c16="http://schemas.microsoft.com/office/drawing/2014/chart" uri="{C3380CC4-5D6E-409C-BE32-E72D297353CC}">
              <c16:uniqueId val="{00000002-B4EE-4655-86C7-47FC5CA31198}"/>
            </c:ext>
          </c:extLst>
        </c:ser>
        <c:dLbls>
          <c:showLegendKey val="0"/>
          <c:showVal val="0"/>
          <c:showCatName val="0"/>
          <c:showSerName val="0"/>
          <c:showPercent val="0"/>
          <c:showBubbleSize val="0"/>
        </c:dLbls>
        <c:axId val="1626730575"/>
        <c:axId val="1626728655"/>
      </c:areaChart>
      <c:barChart>
        <c:barDir val="col"/>
        <c:grouping val="stacked"/>
        <c:varyColors val="0"/>
        <c:ser>
          <c:idx val="0"/>
          <c:order val="0"/>
          <c:tx>
            <c:strRef>
              <c:f>'S14_Upscaled LCA'!$J$1</c:f>
              <c:strCache>
                <c:ptCount val="1"/>
                <c:pt idx="0">
                  <c:v>Processing Tomatoes at Farm Gate</c:v>
                </c:pt>
              </c:strCache>
            </c:strRef>
          </c:tx>
          <c:spPr>
            <a:solidFill>
              <a:srgbClr val="A2C8D0"/>
            </a:solidFill>
            <a:ln>
              <a:noFill/>
            </a:ln>
            <a:effectLst/>
          </c:spPr>
          <c:invertIfNegative val="0"/>
          <c:cat>
            <c:strRef>
              <c:f>'S14_Upscaled LCA'!$I$17:$I$19</c:f>
              <c:strCache>
                <c:ptCount val="3"/>
                <c:pt idx="0">
                  <c:v>BAU (No Reuse) </c:v>
                </c:pt>
                <c:pt idx="1">
                  <c:v>WR_1 (Reuse)</c:v>
                </c:pt>
                <c:pt idx="2">
                  <c:v>WR_2 (Reuse)</c:v>
                </c:pt>
              </c:strCache>
            </c:strRef>
          </c:cat>
          <c:val>
            <c:numRef>
              <c:f>'S14_Upscaled LCA'!$J$17:$J$19</c:f>
              <c:numCache>
                <c:formatCode>0.00E+00</c:formatCode>
                <c:ptCount val="3"/>
                <c:pt idx="0">
                  <c:v>3.6500000000000003E-11</c:v>
                </c:pt>
                <c:pt idx="1">
                  <c:v>3.4200000000000002E-11</c:v>
                </c:pt>
                <c:pt idx="2">
                  <c:v>3.4200000000000002E-11</c:v>
                </c:pt>
              </c:numCache>
            </c:numRef>
          </c:val>
          <c:extLst>
            <c:ext xmlns:c16="http://schemas.microsoft.com/office/drawing/2014/chart" uri="{C3380CC4-5D6E-409C-BE32-E72D297353CC}">
              <c16:uniqueId val="{00000000-B7E1-49EF-B8FA-D5A9AA5D2CAE}"/>
            </c:ext>
          </c:extLst>
        </c:ser>
        <c:ser>
          <c:idx val="1"/>
          <c:order val="1"/>
          <c:tx>
            <c:strRef>
              <c:f>'S14_Upscaled LCA'!$K$1</c:f>
              <c:strCache>
                <c:ptCount val="1"/>
                <c:pt idx="0">
                  <c:v>Wastewater Discharge </c:v>
                </c:pt>
              </c:strCache>
            </c:strRef>
          </c:tx>
          <c:spPr>
            <a:solidFill>
              <a:srgbClr val="C99B38"/>
            </a:solidFill>
            <a:ln>
              <a:noFill/>
            </a:ln>
            <a:effectLst/>
          </c:spPr>
          <c:invertIfNegative val="0"/>
          <c:cat>
            <c:strRef>
              <c:f>'S14_Upscaled LCA'!$I$17:$I$19</c:f>
              <c:strCache>
                <c:ptCount val="3"/>
                <c:pt idx="0">
                  <c:v>BAU (No Reuse) </c:v>
                </c:pt>
                <c:pt idx="1">
                  <c:v>WR_1 (Reuse)</c:v>
                </c:pt>
                <c:pt idx="2">
                  <c:v>WR_2 (Reuse)</c:v>
                </c:pt>
              </c:strCache>
            </c:strRef>
          </c:cat>
          <c:val>
            <c:numRef>
              <c:f>'S14_Upscaled LCA'!$K$17:$K$19</c:f>
              <c:numCache>
                <c:formatCode>0.00E+00</c:formatCode>
                <c:ptCount val="3"/>
                <c:pt idx="0">
                  <c:v>1.0199999999999999E-11</c:v>
                </c:pt>
                <c:pt idx="1">
                  <c:v>1.4899999999999999E-12</c:v>
                </c:pt>
                <c:pt idx="2">
                  <c:v>1.4899999999999999E-12</c:v>
                </c:pt>
              </c:numCache>
            </c:numRef>
          </c:val>
          <c:extLst>
            <c:ext xmlns:c16="http://schemas.microsoft.com/office/drawing/2014/chart" uri="{C3380CC4-5D6E-409C-BE32-E72D297353CC}">
              <c16:uniqueId val="{00000001-B7E1-49EF-B8FA-D5A9AA5D2CAE}"/>
            </c:ext>
          </c:extLst>
        </c:ser>
        <c:ser>
          <c:idx val="2"/>
          <c:order val="2"/>
          <c:tx>
            <c:strRef>
              <c:f>'S14_Upscaled LCA'!$L$1</c:f>
              <c:strCache>
                <c:ptCount val="1"/>
                <c:pt idx="0">
                  <c:v>Irrigation Groundwater</c:v>
                </c:pt>
              </c:strCache>
            </c:strRef>
          </c:tx>
          <c:spPr>
            <a:solidFill>
              <a:srgbClr val="00B0BE"/>
            </a:solidFill>
            <a:ln>
              <a:noFill/>
            </a:ln>
            <a:effectLst/>
          </c:spPr>
          <c:invertIfNegative val="0"/>
          <c:cat>
            <c:strRef>
              <c:f>'S14_Upscaled LCA'!$I$17:$I$19</c:f>
              <c:strCache>
                <c:ptCount val="3"/>
                <c:pt idx="0">
                  <c:v>BAU (No Reuse) </c:v>
                </c:pt>
                <c:pt idx="1">
                  <c:v>WR_1 (Reuse)</c:v>
                </c:pt>
                <c:pt idx="2">
                  <c:v>WR_2 (Reuse)</c:v>
                </c:pt>
              </c:strCache>
            </c:strRef>
          </c:cat>
          <c:val>
            <c:numRef>
              <c:f>'S14_Upscaled LCA'!$L$17:$L$19</c:f>
              <c:numCache>
                <c:formatCode>0.00E+00</c:formatCode>
                <c:ptCount val="3"/>
                <c:pt idx="0">
                  <c:v>2.7200000000000001E-12</c:v>
                </c:pt>
                <c:pt idx="1">
                  <c:v>0</c:v>
                </c:pt>
                <c:pt idx="2">
                  <c:v>0</c:v>
                </c:pt>
              </c:numCache>
            </c:numRef>
          </c:val>
          <c:extLst>
            <c:ext xmlns:c16="http://schemas.microsoft.com/office/drawing/2014/chart" uri="{C3380CC4-5D6E-409C-BE32-E72D297353CC}">
              <c16:uniqueId val="{00000000-B4EE-4655-86C7-47FC5CA31198}"/>
            </c:ext>
          </c:extLst>
        </c:ser>
        <c:ser>
          <c:idx val="3"/>
          <c:order val="3"/>
          <c:tx>
            <c:strRef>
              <c:f>'S14_Upscaled LCA'!$M$1</c:f>
              <c:strCache>
                <c:ptCount val="1"/>
                <c:pt idx="0">
                  <c:v>Irrigation Reused Water</c:v>
                </c:pt>
              </c:strCache>
            </c:strRef>
          </c:tx>
          <c:spPr>
            <a:solidFill>
              <a:srgbClr val="EDDCA5"/>
            </a:solidFill>
            <a:ln>
              <a:noFill/>
            </a:ln>
            <a:effectLst/>
          </c:spPr>
          <c:invertIfNegative val="0"/>
          <c:cat>
            <c:strRef>
              <c:f>'S14_Upscaled LCA'!$I$17:$I$19</c:f>
              <c:strCache>
                <c:ptCount val="3"/>
                <c:pt idx="0">
                  <c:v>BAU (No Reuse) </c:v>
                </c:pt>
                <c:pt idx="1">
                  <c:v>WR_1 (Reuse)</c:v>
                </c:pt>
                <c:pt idx="2">
                  <c:v>WR_2 (Reuse)</c:v>
                </c:pt>
              </c:strCache>
            </c:strRef>
          </c:cat>
          <c:val>
            <c:numRef>
              <c:f>'S14_Upscaled LCA'!$M$17:$M$19</c:f>
              <c:numCache>
                <c:formatCode>0.00E+00</c:formatCode>
                <c:ptCount val="3"/>
                <c:pt idx="0">
                  <c:v>0</c:v>
                </c:pt>
                <c:pt idx="1">
                  <c:v>1.81E-12</c:v>
                </c:pt>
                <c:pt idx="2">
                  <c:v>1.1135104E-12</c:v>
                </c:pt>
              </c:numCache>
            </c:numRef>
          </c:val>
          <c:extLst>
            <c:ext xmlns:c16="http://schemas.microsoft.com/office/drawing/2014/chart" uri="{C3380CC4-5D6E-409C-BE32-E72D297353CC}">
              <c16:uniqueId val="{00000001-B4EE-4655-86C7-47FC5CA31198}"/>
            </c:ext>
          </c:extLst>
        </c:ser>
        <c:dLbls>
          <c:showLegendKey val="0"/>
          <c:showVal val="0"/>
          <c:showCatName val="0"/>
          <c:showSerName val="0"/>
          <c:showPercent val="0"/>
          <c:showBubbleSize val="0"/>
        </c:dLbls>
        <c:gapWidth val="20"/>
        <c:overlap val="100"/>
        <c:axId val="1626730575"/>
        <c:axId val="1626728655"/>
      </c:barChart>
      <c:catAx>
        <c:axId val="162673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28655"/>
        <c:crosses val="autoZero"/>
        <c:auto val="1"/>
        <c:lblAlgn val="ctr"/>
        <c:lblOffset val="100"/>
        <c:noMultiLvlLbl val="0"/>
      </c:catAx>
      <c:valAx>
        <c:axId val="1626728655"/>
        <c:scaling>
          <c:orientation val="minMax"/>
          <c:max val="7.0000000000000031E-9"/>
        </c:scaling>
        <c:delete val="0"/>
        <c:axPos val="l"/>
        <c:majorGridlines>
          <c:spPr>
            <a:ln w="6350" cap="flat" cmpd="sng" algn="ctr">
              <a:solidFill>
                <a:schemeClr val="tx1">
                  <a:lumMod val="15000"/>
                  <a:lumOff val="85000"/>
                </a:schemeClr>
              </a:solidFill>
              <a:prstDash val="lgDash"/>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30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cs typeface="Times New Roman" panose="02020603050405020304" pitchFamily="18"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r>
              <a:rPr lang="en-GB" sz="1000" b="1"/>
              <a:t>Human Toxicity, non carcinogenic (kg of tomatoes/ CTU</a:t>
            </a:r>
            <a:r>
              <a:rPr lang="en-GB" sz="1000" b="1" baseline="-25000"/>
              <a:t>h</a:t>
            </a:r>
            <a:r>
              <a:rPr lang="en-GB" sz="1000" b="1" baseline="0"/>
              <a:t>)</a:t>
            </a:r>
            <a:endParaRPr lang="en-GB" sz="1000" b="1" baseline="-25000"/>
          </a:p>
        </c:rich>
      </c:tx>
      <c:layout>
        <c:manualLayout>
          <c:xMode val="edge"/>
          <c:yMode val="edge"/>
          <c:x val="0.10640347222222221"/>
          <c:y val="2.5634490740740742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GB"/>
        </a:p>
      </c:txPr>
    </c:title>
    <c:autoTitleDeleted val="0"/>
    <c:plotArea>
      <c:layout>
        <c:manualLayout>
          <c:layoutTarget val="inner"/>
          <c:xMode val="edge"/>
          <c:yMode val="edge"/>
          <c:x val="0.1643788789840355"/>
          <c:y val="8.6365417430885452E-2"/>
          <c:w val="0.80544987877393248"/>
          <c:h val="0.80770904060299131"/>
        </c:manualLayout>
      </c:layout>
      <c:areaChart>
        <c:grouping val="standard"/>
        <c:varyColors val="0"/>
        <c:ser>
          <c:idx val="4"/>
          <c:order val="4"/>
          <c:tx>
            <c:strRef>
              <c:f>'S14_Upscaled LCA'!$O$1</c:f>
              <c:strCache>
                <c:ptCount val="1"/>
                <c:pt idx="0">
                  <c:v>Planetary Boundaries</c:v>
                </c:pt>
              </c:strCache>
            </c:strRef>
          </c:tx>
          <c:spPr>
            <a:solidFill>
              <a:schemeClr val="accent6">
                <a:lumMod val="40000"/>
                <a:lumOff val="60000"/>
                <a:alpha val="29000"/>
              </a:schemeClr>
            </a:solidFill>
            <a:ln>
              <a:noFill/>
            </a:ln>
            <a:effectLst/>
          </c:spPr>
          <c:val>
            <c:numRef>
              <c:f>'S14_Upscaled LCA'!$O$20:$O$22</c:f>
              <c:numCache>
                <c:formatCode>0.00E+00</c:formatCode>
                <c:ptCount val="3"/>
                <c:pt idx="0">
                  <c:v>2.85E-8</c:v>
                </c:pt>
                <c:pt idx="1">
                  <c:v>2.85E-8</c:v>
                </c:pt>
                <c:pt idx="2">
                  <c:v>2.85E-8</c:v>
                </c:pt>
              </c:numCache>
            </c:numRef>
          </c:val>
          <c:extLst>
            <c:ext xmlns:c16="http://schemas.microsoft.com/office/drawing/2014/chart" uri="{C3380CC4-5D6E-409C-BE32-E72D297353CC}">
              <c16:uniqueId val="{00000002-83F4-4E09-BD75-8D4750982731}"/>
            </c:ext>
          </c:extLst>
        </c:ser>
        <c:dLbls>
          <c:showLegendKey val="0"/>
          <c:showVal val="0"/>
          <c:showCatName val="0"/>
          <c:showSerName val="0"/>
          <c:showPercent val="0"/>
          <c:showBubbleSize val="0"/>
        </c:dLbls>
        <c:axId val="1626730575"/>
        <c:axId val="1626728655"/>
      </c:areaChart>
      <c:barChart>
        <c:barDir val="col"/>
        <c:grouping val="stacked"/>
        <c:varyColors val="0"/>
        <c:ser>
          <c:idx val="0"/>
          <c:order val="0"/>
          <c:tx>
            <c:strRef>
              <c:f>'S14_Upscaled LCA'!$J$1</c:f>
              <c:strCache>
                <c:ptCount val="1"/>
                <c:pt idx="0">
                  <c:v>Processing Tomatoes at Farm Gate</c:v>
                </c:pt>
              </c:strCache>
            </c:strRef>
          </c:tx>
          <c:spPr>
            <a:solidFill>
              <a:srgbClr val="A2C8D0"/>
            </a:solidFill>
            <a:ln>
              <a:noFill/>
            </a:ln>
            <a:effectLst/>
          </c:spPr>
          <c:invertIfNegative val="0"/>
          <c:cat>
            <c:strRef>
              <c:f>'S14_Upscaled LCA'!$I$20:$I$22</c:f>
              <c:strCache>
                <c:ptCount val="3"/>
                <c:pt idx="0">
                  <c:v>BAU (No Reuse) </c:v>
                </c:pt>
                <c:pt idx="1">
                  <c:v>WR_1 (Reuse)</c:v>
                </c:pt>
                <c:pt idx="2">
                  <c:v>WR_2 (Reuse)</c:v>
                </c:pt>
              </c:strCache>
            </c:strRef>
          </c:cat>
          <c:val>
            <c:numRef>
              <c:f>'S14_Upscaled LCA'!$J$20:$J$22</c:f>
              <c:numCache>
                <c:formatCode>0.00E+00</c:formatCode>
                <c:ptCount val="3"/>
                <c:pt idx="0">
                  <c:v>5.7800000000000003E-9</c:v>
                </c:pt>
                <c:pt idx="1">
                  <c:v>5.6699999999999997E-9</c:v>
                </c:pt>
                <c:pt idx="2">
                  <c:v>5.6699999999999997E-9</c:v>
                </c:pt>
              </c:numCache>
            </c:numRef>
          </c:val>
          <c:extLst>
            <c:ext xmlns:c16="http://schemas.microsoft.com/office/drawing/2014/chart" uri="{C3380CC4-5D6E-409C-BE32-E72D297353CC}">
              <c16:uniqueId val="{00000000-4CA8-451D-B5D4-4AAE88BAC6DF}"/>
            </c:ext>
          </c:extLst>
        </c:ser>
        <c:ser>
          <c:idx val="1"/>
          <c:order val="1"/>
          <c:tx>
            <c:strRef>
              <c:f>'S14_Upscaled LCA'!$K$1</c:f>
              <c:strCache>
                <c:ptCount val="1"/>
                <c:pt idx="0">
                  <c:v>Wastewater Discharge </c:v>
                </c:pt>
              </c:strCache>
            </c:strRef>
          </c:tx>
          <c:spPr>
            <a:solidFill>
              <a:srgbClr val="C99B38"/>
            </a:solidFill>
            <a:ln>
              <a:noFill/>
            </a:ln>
            <a:effectLst/>
          </c:spPr>
          <c:invertIfNegative val="0"/>
          <c:cat>
            <c:strRef>
              <c:f>'S14_Upscaled LCA'!$I$20:$I$22</c:f>
              <c:strCache>
                <c:ptCount val="3"/>
                <c:pt idx="0">
                  <c:v>BAU (No Reuse) </c:v>
                </c:pt>
                <c:pt idx="1">
                  <c:v>WR_1 (Reuse)</c:v>
                </c:pt>
                <c:pt idx="2">
                  <c:v>WR_2 (Reuse)</c:v>
                </c:pt>
              </c:strCache>
            </c:strRef>
          </c:cat>
          <c:val>
            <c:numRef>
              <c:f>'S14_Upscaled LCA'!$K$20:$K$22</c:f>
              <c:numCache>
                <c:formatCode>0.00E+00</c:formatCode>
                <c:ptCount val="3"/>
                <c:pt idx="0">
                  <c:v>8.6599999999999995E-8</c:v>
                </c:pt>
                <c:pt idx="1">
                  <c:v>4.3100000000000002E-8</c:v>
                </c:pt>
                <c:pt idx="2">
                  <c:v>4.3100000000000002E-8</c:v>
                </c:pt>
              </c:numCache>
            </c:numRef>
          </c:val>
          <c:extLst>
            <c:ext xmlns:c16="http://schemas.microsoft.com/office/drawing/2014/chart" uri="{C3380CC4-5D6E-409C-BE32-E72D297353CC}">
              <c16:uniqueId val="{00000001-4CA8-451D-B5D4-4AAE88BAC6DF}"/>
            </c:ext>
          </c:extLst>
        </c:ser>
        <c:ser>
          <c:idx val="2"/>
          <c:order val="2"/>
          <c:tx>
            <c:strRef>
              <c:f>'S14_Upscaled LCA'!$L$1</c:f>
              <c:strCache>
                <c:ptCount val="1"/>
                <c:pt idx="0">
                  <c:v>Irrigation Groundwater</c:v>
                </c:pt>
              </c:strCache>
            </c:strRef>
          </c:tx>
          <c:spPr>
            <a:solidFill>
              <a:schemeClr val="accent3"/>
            </a:solidFill>
            <a:ln>
              <a:noFill/>
            </a:ln>
            <a:effectLst/>
          </c:spPr>
          <c:invertIfNegative val="0"/>
          <c:cat>
            <c:strRef>
              <c:f>'S14_Upscaled LCA'!$I$20:$I$22</c:f>
              <c:strCache>
                <c:ptCount val="3"/>
                <c:pt idx="0">
                  <c:v>BAU (No Reuse) </c:v>
                </c:pt>
                <c:pt idx="1">
                  <c:v>WR_1 (Reuse)</c:v>
                </c:pt>
                <c:pt idx="2">
                  <c:v>WR_2 (Reuse)</c:v>
                </c:pt>
              </c:strCache>
            </c:strRef>
          </c:cat>
          <c:val>
            <c:numRef>
              <c:f>'S14_Upscaled LCA'!$L$20:$L$22</c:f>
              <c:numCache>
                <c:formatCode>0.00E+00</c:formatCode>
                <c:ptCount val="3"/>
                <c:pt idx="0">
                  <c:v>1.4000000000000001E-10</c:v>
                </c:pt>
                <c:pt idx="1">
                  <c:v>0</c:v>
                </c:pt>
                <c:pt idx="2">
                  <c:v>0</c:v>
                </c:pt>
              </c:numCache>
            </c:numRef>
          </c:val>
          <c:extLst>
            <c:ext xmlns:c16="http://schemas.microsoft.com/office/drawing/2014/chart" uri="{C3380CC4-5D6E-409C-BE32-E72D297353CC}">
              <c16:uniqueId val="{00000000-83F4-4E09-BD75-8D4750982731}"/>
            </c:ext>
          </c:extLst>
        </c:ser>
        <c:ser>
          <c:idx val="3"/>
          <c:order val="3"/>
          <c:tx>
            <c:strRef>
              <c:f>'S14_Upscaled LCA'!$M$1</c:f>
              <c:strCache>
                <c:ptCount val="1"/>
                <c:pt idx="0">
                  <c:v>Irrigation Reused Water</c:v>
                </c:pt>
              </c:strCache>
            </c:strRef>
          </c:tx>
          <c:spPr>
            <a:solidFill>
              <a:srgbClr val="EDDCA5"/>
            </a:solidFill>
            <a:ln>
              <a:noFill/>
            </a:ln>
            <a:effectLst/>
          </c:spPr>
          <c:invertIfNegative val="0"/>
          <c:cat>
            <c:strRef>
              <c:f>'S14_Upscaled LCA'!$I$20:$I$22</c:f>
              <c:strCache>
                <c:ptCount val="3"/>
                <c:pt idx="0">
                  <c:v>BAU (No Reuse) </c:v>
                </c:pt>
                <c:pt idx="1">
                  <c:v>WR_1 (Reuse)</c:v>
                </c:pt>
                <c:pt idx="2">
                  <c:v>WR_2 (Reuse)</c:v>
                </c:pt>
              </c:strCache>
            </c:strRef>
          </c:cat>
          <c:val>
            <c:numRef>
              <c:f>'S14_Upscaled LCA'!$M$20:$M$22</c:f>
              <c:numCache>
                <c:formatCode>0.00E+00</c:formatCode>
                <c:ptCount val="3"/>
                <c:pt idx="0">
                  <c:v>0</c:v>
                </c:pt>
                <c:pt idx="1">
                  <c:v>2.9900000000000003E-8</c:v>
                </c:pt>
                <c:pt idx="2">
                  <c:v>4.2602E-8</c:v>
                </c:pt>
              </c:numCache>
            </c:numRef>
          </c:val>
          <c:extLst>
            <c:ext xmlns:c16="http://schemas.microsoft.com/office/drawing/2014/chart" uri="{C3380CC4-5D6E-409C-BE32-E72D297353CC}">
              <c16:uniqueId val="{00000001-83F4-4E09-BD75-8D4750982731}"/>
            </c:ext>
          </c:extLst>
        </c:ser>
        <c:dLbls>
          <c:showLegendKey val="0"/>
          <c:showVal val="0"/>
          <c:showCatName val="0"/>
          <c:showSerName val="0"/>
          <c:showPercent val="0"/>
          <c:showBubbleSize val="0"/>
        </c:dLbls>
        <c:gapWidth val="20"/>
        <c:overlap val="100"/>
        <c:axId val="1626730575"/>
        <c:axId val="1626728655"/>
      </c:barChart>
      <c:catAx>
        <c:axId val="162673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28655"/>
        <c:crosses val="autoZero"/>
        <c:auto val="1"/>
        <c:lblAlgn val="ctr"/>
        <c:lblOffset val="100"/>
        <c:noMultiLvlLbl val="0"/>
      </c:catAx>
      <c:valAx>
        <c:axId val="1626728655"/>
        <c:scaling>
          <c:orientation val="minMax"/>
        </c:scaling>
        <c:delete val="0"/>
        <c:axPos val="l"/>
        <c:majorGridlines>
          <c:spPr>
            <a:ln w="6350" cap="flat" cmpd="sng" algn="ctr">
              <a:solidFill>
                <a:schemeClr val="tx1">
                  <a:lumMod val="15000"/>
                  <a:lumOff val="85000"/>
                </a:schemeClr>
              </a:solidFill>
              <a:prstDash val="lgDash"/>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30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cs typeface="Times New Roman" panose="02020603050405020304" pitchFamily="18"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r>
              <a:rPr lang="en-GB" sz="1200" b="1"/>
              <a:t>Water Use (kg of tomatoes/ m</a:t>
            </a:r>
            <a:r>
              <a:rPr lang="en-GB" sz="1200" b="1" baseline="30000"/>
              <a:t>3</a:t>
            </a:r>
            <a:r>
              <a:rPr lang="en-GB" sz="1200" b="1" baseline="0"/>
              <a:t>)</a:t>
            </a:r>
            <a:endParaRPr lang="en-GB" sz="1200" b="1" baseline="-25000"/>
          </a:p>
        </c:rich>
      </c:tx>
      <c:layout>
        <c:manualLayout>
          <c:xMode val="edge"/>
          <c:yMode val="edge"/>
          <c:x val="0.1137254946440967"/>
          <c:y val="2.85743154770330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GB"/>
        </a:p>
      </c:txPr>
    </c:title>
    <c:autoTitleDeleted val="0"/>
    <c:plotArea>
      <c:layout>
        <c:manualLayout>
          <c:layoutTarget val="inner"/>
          <c:xMode val="edge"/>
          <c:yMode val="edge"/>
          <c:x val="0.11828322996583657"/>
          <c:y val="8.6365332248803786E-2"/>
          <c:w val="0.33440946685963951"/>
          <c:h val="0.80770904060299131"/>
        </c:manualLayout>
      </c:layout>
      <c:areaChart>
        <c:grouping val="standard"/>
        <c:varyColors val="0"/>
        <c:ser>
          <c:idx val="4"/>
          <c:order val="4"/>
          <c:tx>
            <c:strRef>
              <c:f>'S14_Upscaled LCA'!$O$1</c:f>
              <c:strCache>
                <c:ptCount val="1"/>
                <c:pt idx="0">
                  <c:v>Planetary Boundaries</c:v>
                </c:pt>
              </c:strCache>
            </c:strRef>
          </c:tx>
          <c:spPr>
            <a:solidFill>
              <a:schemeClr val="accent6">
                <a:lumMod val="40000"/>
                <a:lumOff val="60000"/>
                <a:alpha val="29000"/>
              </a:schemeClr>
            </a:solidFill>
            <a:ln>
              <a:noFill/>
            </a:ln>
            <a:effectLst/>
          </c:spPr>
          <c:val>
            <c:numRef>
              <c:f>'S14_Upscaled LCA'!$O$23:$O$25</c:f>
              <c:numCache>
                <c:formatCode>0.00E+00</c:formatCode>
                <c:ptCount val="3"/>
                <c:pt idx="0">
                  <c:v>1.26</c:v>
                </c:pt>
                <c:pt idx="1">
                  <c:v>1.26</c:v>
                </c:pt>
                <c:pt idx="2">
                  <c:v>1.26</c:v>
                </c:pt>
              </c:numCache>
            </c:numRef>
          </c:val>
          <c:extLst>
            <c:ext xmlns:c16="http://schemas.microsoft.com/office/drawing/2014/chart" uri="{C3380CC4-5D6E-409C-BE32-E72D297353CC}">
              <c16:uniqueId val="{00000002-6759-4BD7-853C-3678ACE6151E}"/>
            </c:ext>
          </c:extLst>
        </c:ser>
        <c:dLbls>
          <c:showLegendKey val="0"/>
          <c:showVal val="0"/>
          <c:showCatName val="0"/>
          <c:showSerName val="0"/>
          <c:showPercent val="0"/>
          <c:showBubbleSize val="0"/>
        </c:dLbls>
        <c:axId val="1626730575"/>
        <c:axId val="1626728655"/>
      </c:areaChart>
      <c:barChart>
        <c:barDir val="col"/>
        <c:grouping val="stacked"/>
        <c:varyColors val="0"/>
        <c:ser>
          <c:idx val="0"/>
          <c:order val="0"/>
          <c:tx>
            <c:strRef>
              <c:f>'S14_Upscaled LCA'!$J$1</c:f>
              <c:strCache>
                <c:ptCount val="1"/>
                <c:pt idx="0">
                  <c:v>Processing Tomatoes at Farm Gate</c:v>
                </c:pt>
              </c:strCache>
            </c:strRef>
          </c:tx>
          <c:spPr>
            <a:solidFill>
              <a:srgbClr val="A2C8D0"/>
            </a:solidFill>
            <a:ln>
              <a:noFill/>
            </a:ln>
            <a:effectLst/>
          </c:spPr>
          <c:invertIfNegative val="0"/>
          <c:cat>
            <c:strRef>
              <c:f>'S14_Upscaled LCA'!$I$23:$I$25</c:f>
              <c:strCache>
                <c:ptCount val="3"/>
                <c:pt idx="0">
                  <c:v>BAU (No Reuse) </c:v>
                </c:pt>
                <c:pt idx="1">
                  <c:v>WR_1 (Reuse)</c:v>
                </c:pt>
                <c:pt idx="2">
                  <c:v>WR_2 (Reuse)</c:v>
                </c:pt>
              </c:strCache>
            </c:strRef>
          </c:cat>
          <c:val>
            <c:numRef>
              <c:f>'S14_Upscaled LCA'!$J$23:$J$25</c:f>
              <c:numCache>
                <c:formatCode>0.00E+00</c:formatCode>
                <c:ptCount val="3"/>
                <c:pt idx="0">
                  <c:v>3.4125000000000003E-2</c:v>
                </c:pt>
                <c:pt idx="1">
                  <c:v>2.8281000000000001E-2</c:v>
                </c:pt>
                <c:pt idx="2">
                  <c:v>2.8281000000000001E-2</c:v>
                </c:pt>
              </c:numCache>
            </c:numRef>
          </c:val>
          <c:extLst>
            <c:ext xmlns:c16="http://schemas.microsoft.com/office/drawing/2014/chart" uri="{C3380CC4-5D6E-409C-BE32-E72D297353CC}">
              <c16:uniqueId val="{00000000-8C98-40CD-BF17-58F5D88C659A}"/>
            </c:ext>
          </c:extLst>
        </c:ser>
        <c:ser>
          <c:idx val="1"/>
          <c:order val="1"/>
          <c:tx>
            <c:strRef>
              <c:f>'S14_Upscaled LCA'!$K$1</c:f>
              <c:strCache>
                <c:ptCount val="1"/>
                <c:pt idx="0">
                  <c:v>Wastewater Discharge </c:v>
                </c:pt>
              </c:strCache>
            </c:strRef>
          </c:tx>
          <c:spPr>
            <a:solidFill>
              <a:srgbClr val="C99B38"/>
            </a:solidFill>
            <a:ln>
              <a:noFill/>
            </a:ln>
            <a:effectLst/>
          </c:spPr>
          <c:invertIfNegative val="0"/>
          <c:cat>
            <c:strRef>
              <c:f>'S14_Upscaled LCA'!$I$23:$I$25</c:f>
              <c:strCache>
                <c:ptCount val="3"/>
                <c:pt idx="0">
                  <c:v>BAU (No Reuse) </c:v>
                </c:pt>
                <c:pt idx="1">
                  <c:v>WR_1 (Reuse)</c:v>
                </c:pt>
                <c:pt idx="2">
                  <c:v>WR_2 (Reuse)</c:v>
                </c:pt>
              </c:strCache>
            </c:strRef>
          </c:cat>
          <c:val>
            <c:numRef>
              <c:f>'S14_Upscaled LCA'!$K$23:$K$25</c:f>
              <c:numCache>
                <c:formatCode>0.00E+00</c:formatCode>
                <c:ptCount val="3"/>
                <c:pt idx="0">
                  <c:v>9.3469999999999994E-3</c:v>
                </c:pt>
                <c:pt idx="1">
                  <c:v>1.1969999999999999E-3</c:v>
                </c:pt>
                <c:pt idx="2">
                  <c:v>1.1969999999999999E-3</c:v>
                </c:pt>
              </c:numCache>
            </c:numRef>
          </c:val>
          <c:extLst>
            <c:ext xmlns:c16="http://schemas.microsoft.com/office/drawing/2014/chart" uri="{C3380CC4-5D6E-409C-BE32-E72D297353CC}">
              <c16:uniqueId val="{00000001-8C98-40CD-BF17-58F5D88C659A}"/>
            </c:ext>
          </c:extLst>
        </c:ser>
        <c:ser>
          <c:idx val="2"/>
          <c:order val="2"/>
          <c:tx>
            <c:strRef>
              <c:f>'S14_Upscaled LCA'!$L$1</c:f>
              <c:strCache>
                <c:ptCount val="1"/>
                <c:pt idx="0">
                  <c:v>Irrigation Groundwater</c:v>
                </c:pt>
              </c:strCache>
            </c:strRef>
          </c:tx>
          <c:spPr>
            <a:solidFill>
              <a:srgbClr val="00B0BE"/>
            </a:solidFill>
            <a:ln>
              <a:noFill/>
            </a:ln>
            <a:effectLst/>
          </c:spPr>
          <c:invertIfNegative val="0"/>
          <c:cat>
            <c:strRef>
              <c:f>'S14_Upscaled LCA'!$I$23:$I$25</c:f>
              <c:strCache>
                <c:ptCount val="3"/>
                <c:pt idx="0">
                  <c:v>BAU (No Reuse) </c:v>
                </c:pt>
                <c:pt idx="1">
                  <c:v>WR_1 (Reuse)</c:v>
                </c:pt>
                <c:pt idx="2">
                  <c:v>WR_2 (Reuse)</c:v>
                </c:pt>
              </c:strCache>
            </c:strRef>
          </c:cat>
          <c:val>
            <c:numRef>
              <c:f>'S14_Upscaled LCA'!$L$23:$L$25</c:f>
              <c:numCache>
                <c:formatCode>0.00E+00</c:formatCode>
                <c:ptCount val="3"/>
                <c:pt idx="0">
                  <c:v>0.96529449999999994</c:v>
                </c:pt>
                <c:pt idx="1">
                  <c:v>0</c:v>
                </c:pt>
                <c:pt idx="2">
                  <c:v>0</c:v>
                </c:pt>
              </c:numCache>
            </c:numRef>
          </c:val>
          <c:extLst>
            <c:ext xmlns:c16="http://schemas.microsoft.com/office/drawing/2014/chart" uri="{C3380CC4-5D6E-409C-BE32-E72D297353CC}">
              <c16:uniqueId val="{00000000-6759-4BD7-853C-3678ACE6151E}"/>
            </c:ext>
          </c:extLst>
        </c:ser>
        <c:ser>
          <c:idx val="3"/>
          <c:order val="3"/>
          <c:tx>
            <c:strRef>
              <c:f>'S14_Upscaled LCA'!$M$1</c:f>
              <c:strCache>
                <c:ptCount val="1"/>
                <c:pt idx="0">
                  <c:v>Irrigation Reused Water</c:v>
                </c:pt>
              </c:strCache>
            </c:strRef>
          </c:tx>
          <c:spPr>
            <a:solidFill>
              <a:srgbClr val="EDDCA5"/>
            </a:solidFill>
            <a:ln>
              <a:noFill/>
            </a:ln>
            <a:effectLst/>
          </c:spPr>
          <c:invertIfNegative val="0"/>
          <c:cat>
            <c:strRef>
              <c:f>'S14_Upscaled LCA'!$I$23:$I$25</c:f>
              <c:strCache>
                <c:ptCount val="3"/>
                <c:pt idx="0">
                  <c:v>BAU (No Reuse) </c:v>
                </c:pt>
                <c:pt idx="1">
                  <c:v>WR_1 (Reuse)</c:v>
                </c:pt>
                <c:pt idx="2">
                  <c:v>WR_2 (Reuse)</c:v>
                </c:pt>
              </c:strCache>
            </c:strRef>
          </c:cat>
          <c:val>
            <c:numRef>
              <c:f>'S14_Upscaled LCA'!$M$23:$M$25</c:f>
              <c:numCache>
                <c:formatCode>0.00E+00</c:formatCode>
                <c:ptCount val="3"/>
                <c:pt idx="0">
                  <c:v>0</c:v>
                </c:pt>
                <c:pt idx="1">
                  <c:v>-0.11081106630000001</c:v>
                </c:pt>
                <c:pt idx="2">
                  <c:v>-0.11130728540000001</c:v>
                </c:pt>
              </c:numCache>
            </c:numRef>
          </c:val>
          <c:extLst>
            <c:ext xmlns:c16="http://schemas.microsoft.com/office/drawing/2014/chart" uri="{C3380CC4-5D6E-409C-BE32-E72D297353CC}">
              <c16:uniqueId val="{00000001-6759-4BD7-853C-3678ACE6151E}"/>
            </c:ext>
          </c:extLst>
        </c:ser>
        <c:dLbls>
          <c:showLegendKey val="0"/>
          <c:showVal val="0"/>
          <c:showCatName val="0"/>
          <c:showSerName val="0"/>
          <c:showPercent val="0"/>
          <c:showBubbleSize val="0"/>
        </c:dLbls>
        <c:gapWidth val="20"/>
        <c:overlap val="100"/>
        <c:axId val="1626730575"/>
        <c:axId val="1626728655"/>
      </c:barChart>
      <c:catAx>
        <c:axId val="162673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28655"/>
        <c:crosses val="autoZero"/>
        <c:auto val="1"/>
        <c:lblAlgn val="ctr"/>
        <c:lblOffset val="100"/>
        <c:noMultiLvlLbl val="0"/>
      </c:catAx>
      <c:valAx>
        <c:axId val="1626728655"/>
        <c:scaling>
          <c:orientation val="minMax"/>
          <c:min val="0"/>
        </c:scaling>
        <c:delete val="0"/>
        <c:axPos val="l"/>
        <c:majorGridlines>
          <c:spPr>
            <a:ln w="6350" cap="flat" cmpd="sng" algn="ctr">
              <a:solidFill>
                <a:schemeClr val="tx1">
                  <a:lumMod val="15000"/>
                  <a:lumOff val="85000"/>
                </a:schemeClr>
              </a:solidFill>
              <a:prstDash val="lgDash"/>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crossAx val="1626730575"/>
        <c:crosses val="autoZero"/>
        <c:crossBetween val="between"/>
      </c:valAx>
      <c:spPr>
        <a:noFill/>
        <a:ln>
          <a:noFill/>
        </a:ln>
        <a:effectLst/>
      </c:spPr>
    </c:plotArea>
    <c:legend>
      <c:legendPos val="r"/>
      <c:layout>
        <c:manualLayout>
          <c:xMode val="edge"/>
          <c:yMode val="edge"/>
          <c:x val="0.51231891783985373"/>
          <c:y val="0.13446923533531688"/>
          <c:w val="0.33770752024600365"/>
          <c:h val="0.3292157238873225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cs typeface="Times New Roman" panose="02020603050405020304" pitchFamily="18"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entityId">
        <cx:lvl ptCount="23">
          <cx:pt idx="0">6</cx:pt>
          <cx:pt idx="1">4</cx:pt>
          <cx:pt idx="2">25</cx:pt>
          <cx:pt idx="3">108</cx:pt>
          <cx:pt idx="4">59</cx:pt>
          <cx:pt idx="5">67</cx:pt>
          <cx:pt idx="6">84</cx:pt>
          <cx:pt idx="7">90</cx:pt>
          <cx:pt idx="8">98</cx:pt>
          <cx:pt idx="9">117</cx:pt>
          <cx:pt idx="10">118</cx:pt>
          <cx:pt idx="11">139</cx:pt>
          <cx:pt idx="12">148</cx:pt>
          <cx:pt idx="13">163</cx:pt>
          <cx:pt idx="14">158</cx:pt>
          <cx:pt idx="15">270</cx:pt>
          <cx:pt idx="16">159</cx:pt>
          <cx:pt idx="17"/>
          <cx:pt idx="18">212</cx:pt>
          <cx:pt idx="19">217</cx:pt>
          <cx:pt idx="20">222</cx:pt>
          <cx:pt idx="21">234</cx:pt>
          <cx:pt idx="22">235</cx:pt>
        </cx:lvl>
      </cx:strDim>
      <cx:strDim type="cat">
        <cx:f>_xlchart.v6.1</cx:f>
        <cx:nf>_xlchart.v6.0</cx:nf>
      </cx:strDim>
      <cx:numDim type="colorVal">
        <cx:f>_xlchart.v6.3</cx:f>
        <cx:nf>_xlchart.v6.2</cx:nf>
      </cx:numDim>
    </cx:data>
  </cx:chartData>
  <cx:chart>
    <cx:plotArea>
      <cx:plotAreaRegion>
        <cx:series layoutId="regionMap" uniqueId="{9D8AF7F5-2249-41BE-AC97-3F34F38C974F}">
          <cx:tx>
            <cx:txData>
              <cx:f>_xlchart.v6.2</cx:f>
              <cx:v>Water withdrawl for agriculture as % of total </cx:v>
            </cx:txData>
          </cx:tx>
          <cx:dataId val="0"/>
          <cx:layoutPr>
            <cx:geography viewedRegionType="dataOnly" cultureLanguage="it-IT" cultureRegion="IT" attribution="Con tecnologia Bing">
              <cx:geoCache provider="{E9337A44-BEBE-4D9F-B70C-5C5E7DAFC167}">
                <cx:binary>lHpZk6U6kuZfKbvPw72AhJDKutpsBJz9xL5k5ossIjJSCIQEiEXi149H9Z3u6mqbth6ztMg4AegI
l8v9W/QvH/6vH/rzbfyL77Rxf/3wf/utnqb+r3/84T7qz+7N/d6pj9E6+2v6/cN2f9hfv9TH5x8/
x7dVGflHGif4j4/6bZw+/W//+i8wmvy05dv0VplJTeF+/hzDw6eb9eT+26v/j4t/+fz7ME+h//zb
bx92NtPXcFJZ89ufl44///Zbmse//eWPfxziz4s3bx08d7Vm+jSfcrT/5aHPNzfB8/HviCYxixOC
E4qz/Le/rJ9fFxL6O85SksVxHicsxui3vxg7TvXffsPo9wzHJGcMwUMxSbPf/uLs/PdLye8U5zFm
eYIShHNC/j0wd1YHac2/h+LPz38xc3dnlZkcfGWewrf0/3bj18vlaUIRwizJGYaZ5ClhcP3j7QHC
/3X//xLTsmqV6LaY2+YxcvbS+/Ycm6Xs49fFZzzNyTWJ8gMR5MXg+UDr/p7prIi6nUqp4QvprwNS
jpM0vu0zhotmiG2hcCja2DzH/bDPCDJcNvYgaR3xdn6mbZRVamkM15F6pfVSzTiauLTN8zSHvFin
uucomJstGggfNvw4J4vhbEjmImXxzJNoPduufx40OnZk4LbOU153zbep62kxL3G5Zu0dMf5+cd0n
Y3jjq9h0scbs0m5W8E7ZvSL2TUvdcm0wp7Q75X6ui4z1kitqvxv33av2odFbw1M3YG6UOFHZrXxo
6Xch5jc8unO7jN/IYh6dPjSq+y7r8GRTNhV+XYazFo0sadcs32uZjTwMoZTDoi4NsS13ma7PWnWv
cjLiJR7EUngz+9uk9tlu6CZ3nUTeH0RvHkPSi6p3T7Vqf0SjeR5YzKd2/C6ZJMUcxXOJVwgmwdF+
G55wUBGfM0Y42xbJXZPc45A+B98n3E+i4Ytzza2WaxkzdBQzG/iWiLqqOz/zLFqaYrZo4+lCv4eJ
9buZiYek3zzf0Asi7zlpfJljjcoh6wtv+wkWBrfFVjtaJuohgruShXLlM7ebWztztcU518gGPupd
4mlUdEE8ZFv+pqa2jDN3ramvucTtzlAmOOu836nMlCIQUk5Cf9TbK1FdXMjhTrV9V9I16Yup9T/R
Ks5u2lre6GzvSDbvUqUwvGHCjsjeNiOJS40/tyjpqq0Tr95NV1P7netmy9O6rTDavjFiThJPugj6
tWs8h0Ht0cpWHmv8K0tadqKtNYctJUU9pZWM9bSbc/aWk+4aiC6NFC/etWMRk+lnn6BbNrmGr7Ev
MBM/F9KNvOmlLuJ2eh684V7ZhS+6l+WAzLfNpYrX/sm2bZETdtP64XV05kDj7lCH7cq8eEMa3YRh
eya4v7ImGU6osQ1vcHxo8HyeTdQWLqTHMKFzj8djuslbpJdQCJJ8LJvlPjHfI5IPXPfbXPXrupNO
XscpO/eD/kZTlfHOdm+YXAe26KJzeCqlyzGPo41/TWbR22NfNycMC8RDP9TcmNwXgfyI6/RubCGa
CvfoMPX0fYX8r6Y5fW0mCg/rqmfrOWl3axA/fcJ2CnvFW+UkN9Z/UhwXef28DfQihiEpWJ2fazuf
sSqScbtPZ7VjsHd8l76idpp5K76PafRLfg2iBsd9rfeLW5+bfDjaWJRZs06laoekNITcJcRO1ZZC
YruW/GzDh8NmKNTkHqNuuaFheWwDvEa6vSULhCr4RzyZiUMtPmEt2kK9QvCmLimmYYwLq5dj4vN3
FjeVNuatM2TbRWP65mqpS9YvSbGOY5Gu+VNfiyJZIatbBjled8kp0xbezt0uPn8l9hwze+3mC0uG
Ik6jUxb7HV3kbsrNKc9ElduBJ6s9eML2lMkb3N7YMOx7tB60xtUg5Q5vY0nzZh+QrCKEq2xxJSwf
j6jjbuv4JDf49lKm4bD2dykJpWvks1pR1avl4kLHcSSKNPLHRZjjktdF+iKo2HV+usC2PtQoPvkt
K7+eTFZc0awr8iUrs7Gu0tDs102dSXLfbKbAiyqm6DZpnwn6jnE4tGbc57Mr4fuxIWXTf/OxOYU6
vhtUtDfZPp3tyLNV3cwSl7XZSqPYyQp6WOL0Nl6OmPqDaMJpNfbcLGQXa3PAPdQ3g3dTW1dfMZn7
mcualHmqee+nm3l1hZhFMSbj/mu4nKFKzqbnyWROG1JQJfDt7MbzHGUXvQU+mI0vXXdlyy/RnAfS
lLK962Vd4SAfYJuXTbYe5tQeg7UVQ/lR48AtFLN8OdWZgRyID2OzVmMLDaSXu63Wf4+WoP7YDcn+
6/8lqt9mu95Esprct2WIz9JvPJbyOW5x0dG1iozaeyIefe/2ciZ72ryuprm0w7r7imvj4PIUiq84
B7ZWfs7KxGUlxa5goyjieqzS+tb6/CCW/NDb/pZMLOdtkp6HeOI09B+11ZLnrb1rcnlTm+SMEduP
zVAl0c/N71cirkO2Wh4ifZXtt1hvh3ocrwNUohQaJM36jVs7P1ukv6F1fUZ6+vH1eWztN03CXRSj
W0HQa2+jR1iVIhtROU7ddfLdHfbtXRvLh8l1d6MezswV0CEvlpIbOddPG6kLx8wh7sNzbthNn6IT
QxKKjL4bl/jUka6oa3Pn/fIcqHxqoYhq5Es7TXs2iO+pgvu25TnK07tkqy8yp9wRe91kA1Wm6Y5z
xkeVvMaJuKb+fSSQYlO8p8r9mIJ+Z2IqfepLmch7v1vS5psx0X2veJ4vDzNJzlFcFwH5BwRjRIt4
RENXuDa6yT5UkNU2u33iQ5Ek8alxruwN5SjBgGfuDRurBptidrjAbTiyPj4M27pDkl2IXq+hO2Ha
7FM3PyxIDYWFLT2iKsZ6T2m8N726b3p22prlYZMYiqh8YdJUZForJpudSOIKt/bcjWsVpCqWemdh
6ePNfMbfad8+6IbemD4/kiG8Ybw+6OlG9dNb1NavKSbfR9f2fFXxXRd/q/tyaqfzEJlrPkyFzEp7
lX04Qat+6HL/Gmhz/7VnSOJKYvGngLTrpD3XcXI3IH/Yxu3cFkShx2kCwEGSK83Tdz34X6ufS9Fs
l77fXvKxfm2ZPnV4/qFxcuc7zmR0WZG5KtsqjjJUCeUuzE48geSu17DPXTiMvazwEJXj4m6aLf5m
17Nib+m0n7arSKHCSlcQVvNuPtphrQYIyhSih9CH6xhvJzzQvZZWArTxhezsecjNdc4hrXMlbz2e
X/K2rQu9+F+tFj8G/U7RshuTgiZnX4cilooHPD+6qLmX8fat38RxTZuYA4A5Rrk+rPVh1KGYR/SO
vdy3Tfo01RG8E+w5sTBAxs3qODTHDc8Pqk4BIFPEvYy2QmJU4BHQAOrqiUd5+z70z6veeGLNiZD1
Fsr4RmaeZgA78rRSov0ma3aQrr9lFFWudxcnHnD3hlaXlHU6PyejelBzexdGcmjyDgokRK9mx9gl
561F55aNN1FCb8LW3q2WHKPpEdrYpVP+uR7oDcWw3BE3LnuEBvisXfRsyfKMPWwKM0F1+eXq6HFN
kjLo6DDW+YU1+TMUkEctAW3n/kh6WZBUPDYbfaxZeE1pczeneofr7ShSgGxNd+dXqB0bLtogb/Ta
NoVxZqz6/gPISnxUQwr8ECBkNvWk2AYNkKPdJ+4pFXnDu05IbhtbjLK+aLLBNXo/4kC5mfNL17RX
N9+v86G19c86DKayIScFIj0tmxbvrIA27IZsN/mU+8aH84TEMXH5dVw9RGo7ZppcRTwejMzuYwF3
WUt0MYhtt9H+wWdjANCRDhx2oOd1UoSm7zhg7hhSwNQFU9thNEN6CgywTuTVieQjJGle6DDMgHXy
lks3qzIaacTZ5HkTDRe/6KZgZIw41PN8NwbBl2y4ALBeL2Ztay56v5WoR0kZQyqNpi2W3lyEyC6J
VUtp1wUXW3bby+H7nMkH1wXEs2YSPB2ffag1BwrKuJKoyiUTRRbrA87WZ0fMtethi0ymuzGW1tBn
CN1ldXOwTcv7bqyAv4cyjsR4mRZgWUjd+K3rdxTrboeT8WyS3BRAvKolh4Y8RcBtapVJIBXLmyDD
TiHA6DEBnDMNEqZh+VTTuehbUtk0rmLjPlyW7dGC95tozM3Uwmatl/n7uBHMt3Tc9gyWuYlpOFBL
Nd/i4Y2tGmAF01c/U8rjrKg7hyoPTV0Ppj7Eud35fKGFmoel2GC36fcUqbTaQpzslrmHzVgs6fDS
CPQrWerPWMRNmZOIp5TNUPhWoENZfrflbcxttOldxNLu0k7SXJpxTKqVQpVqtm0rre+XYpp+KTzo
YqyH7XZlseHwJp6vS57s+97XuzyXFtZ3rXC+umPjiT+M3rQcSIk6rEMndmkSLODzGtqtAJ7bDZjs
XDYXCEENHX2f3uKgD/2YdVUuOsAz+VqRzfQltgurGt+o84DSJ72QtkDwruVohyoelvWikgfSD+2z
dQ3gZ+KXQ7Y5XNkmGXdZF9pdiNBc5oNqeBDzUnQmxAVU7ano2HvUQyoiRD6Fm8+aOneijnQ86hCF
VG96YJ2Qi5FZSZUBHOA6byCHZLi3uRalRHXDtVS+jNdp5Wt7hEUQu3h1a6Vg2yR5qy+9EmuFbPtT
rqwtMx84Tbbp2AY6HOaWHoe03XiW3LMu9mVGVVtKxoAvJUD0Wvm8LaAmoCXi3doh0AcYkMeURZxO
AnZjPO1jIqcCGCG6a+q6qFGkDlOG3VGMxzbdgFVBAerYbetlBwV3aTglxu1xvjcddcXcNSl3q3mb
F3vKt3blObRTWHvdlcPSXwFX/mKkSETS84Wq5XWc8xfSo89laeo3XJeaCnasxeiLyc/uthFAUIcE
un3ubXZZWxX2mqlPqKnhFlbDAPVhu2E+krmhpzGQ/DSO7s/fekrnY5IYQIBUwfLHejcJszwG7Pg0
r2lhGisuSwRqAGuicO6CuUOoRpAkvivQl64iZL28ZGbcsbpPIUlksqtduzw2+o50ND1CHofCI/ve
6y57zNlNFotiYB30MdJ+RJbaF+k8l+l4W0NunhaPoaCFOHtQdhw47WR827JN8oGhgfcsax5A0doO
NBCuAhovrrZNGeb4Q24dKaMGwIdNu0Nnzci7umHnsNVT0WK822yNriRp1wdgXKcwduIYpcO2Y2b4
5hnuDo0cniM19/c0/dzyLbqHoRGQn3Q8TH4dQPQBZkPQUEBYH+r6dU17std5/WGYZt+zLHlBk/ef
Q7oVbtleCGqOYVMFIbUsFqZrYCjiZIb2EKP0rGpGAQl03Fn3g0BzsCoClL4fYv2j7rtPwDo8brsf
rtMvPVYn2N4767a9TSdXtCy5XzHeT2Pcc6ev7bJcQz02HI3ZITdRlfe54/hESSc5c+zJRYEVQyd3
Xd4DPshoKKLVDTy12cGOMEDc7LPpJIExcCKC2Wd99CHy6KRI/8Aa95lsmhQxtvDdsy77bl6hCkrC
xTg1nC/CaY42BWAWIOdcLV24ZAx2zQYlpZhruls3diA/hpXutFW/ImZ/UI9e3XZVWzno5SfT6ufY
j9+gcVTYZEeJ8+Mw6kftD0sQP4IYGp6AmJR0oDtEQcKoqXwSm7+NhLnUm77IZu7LzK5PEcgLhZ9i
zXWI+ZKEa+e79y5L92m2Vcqyr6qyJzukriBGVcKIU5zFr4Pb66j5NVJ0g/OxQGtyisz8c8bNNW7M
MY+SkSdCPkA1OUSN/iEbH3PhKCQvaCJsrH+tGjkOTfVe5eLp638kUj5P8kHre2zVO0EA3wD3XEfR
Lnwakpgb2ONFq8iNyPXFZQ7Q0n7LOPJh1wH3zGLQOvv3voe7cjN+61RJk/F5jc1lmvMnEGIeWZTv
1gTvx4ldaXbbrbBrWJM53o3yl6DAmpvmw654r4kZON62lyxMsLMVZI/VP7SdDmnniqTOQExtwlTJ
sX5Pt+yoHBBhKdof0q+lpelNssEsrMl1UYtQjXV37GLrShY/6wGEnc3Qym0QE9PpvhjN8hTFtOFx
2iPAxnVdLi7l0oe2QttYF2oY9mOeFyJOABVj/bjN7LjE6rFW+XNY6nIYZwA1sBirInxt9DvSovp6
05yZu1aNj2M3flv1eIgk+5kE8r2DxS9aE53mHANjB6EzpU9+jE4LhGoeYHdQS3a5BWnPLu9JHZ2X
Dh+aZLlfzG5LIedYeiBDVJEVFCnXdReQCD6YhVcKff2+rlml0/ArhzuWFWJjMrJTrj7apP3773Tz
wMCbIr8NXu6GcDIjuY9pB4WHgCY3mZqrLDvgzgCTo28ldet1o3xSseRTD0hxbh7Wuqsy1laOzFcz
o3uRkZvJjKd2puUoMVexGriHuZpU3jRRrkA+vm8pOiQTqVj3hGA/U7rxGduCwkQNFqcFwTevxtxN
GcxagN7B+345RFo+NRlUy/U60DzitsuOjfI9dJP6UJtx4TnowawjR2cgUzVUSbTmZdy+TlP3KLAG
udvfbuPwTcaQZSbqHq1F963FAGanL62fssdZQnBEEuliivOnsQFy4nX+Jb6TQ0iqiJqGew/z6z05
tgQ4mO1PEfXvuQL8MEUJTBWeUX2iiwV/SJLv+g3Cnhk+BLqLsLmgZOWTGIdiSiBWZCgj1U4c0vQQ
6hRUIZ/djP30Lbj2F4kWWSFkXnysb0FP2zeC0/S0Ju2vNJ/LNVquAwTe1foXmgziiLAyFs1xGmHK
YYY6E2WHIR5xmbBPNCuwAAZzl9P63b13NgZnIwLCyE51pN6lpzcK6QpP20uS9lzOfBnT73GT7yw0
h4lFJxmx0zCbH0qm94hGlQSlbsggTwNp352D6orq5Xq2ExSBVaGTbsaiT6KqMV8LmoUHkBuKCOvL
spCbWZjHMcX30A8fmaTHeZ53mtal2aCmxfaNrpKPkNN+A5ulmYZvIp7VPp7b9182gl6+ASnA0Sm0
6X0Hia3jyPDMQOylS+8pJp4n/dzwbf6e05fhNTHs2FmgHGu32hLgigYPQf3Us98vWVR4mh21kOcx
9N+abX3BY37jdcSdAJ7uaQ40Bdk7BEySqPUlB0FhUIx/BWMCIdRHGuZagx/QjD1guawap+1xc+YR
z+igbA5NBLa4EZW10ccyQfYGry9oWIvZL8WQq+vUdCe1RJ5nSr2Dytsh4Cs5Wl+W+oPMY7vLHRRj
tJIn0a1nkbjjgqClEVFzGg0DzxD0tSxZLtFTCPjGrvZxqclucFGlFdm/ybEpao0PA0gRtN1erNUV
EuT4lbI2le9hS3jDoF36bCloWIt+yG96RI69pE9qxPuv9q3EdMUqO6wmvYcaD3iAQsWMlmPH5jKT
9i7pQLiNYSglzV2o0T7Q6UrWruZ4hDrvZXgFOAx7kji+zu6bH9BPE0uw0wbI3mEqF5M/qHS7W6Kg
QZykGlyhbGemGSy0UnjIADNkhyyCiWb0q1BjpaoWdESOQd8BJQsIVlJB6t9GMm7LZWkvY0OeSCNX
Pm8iB/BUL4BATCG3lnHsXXdwTbvPrHB3y3JQ0tmi7fu1iDYTl3OLSsdA1Vlgb1aNXutyTU1aASr7
/Ltt+se/ubZ/mpH/Zk5+2D6MStZ/2rb//vFfn2wH//7l65n/+OOX7/sfn67/1zD+b+/af9ove9b9
803/aWSYzJ+z+/KU/9OH/2Iw/6P/+z+9+D/zl8l/5y7/b/3+ZtTbP1rLcP+fxnLye0zAUKZZlidQ
mmO48qezzH5PAZqkDJE8Jtk/Osvp74RkJKGUEUwxyv/DWUbsd/gTynLEEviJ0/T/x1n+sqj/yVcm
SRwTguI0yVFC/8lXDlBXVpIJWSCwOVOsPmMzXXSg1y10h7TNLwh1oBuvRZZ1vJ0E5nOrPsXgLosi
7xN2jI8BnFJ5j+PWFOCC0SK35MLUy4rIN6N1WhCUQRPx249/CPGfififXHGWp/88exaDyIoxSVN4
DYwgtP/oim+t96Ct67owdfcdS3TpvxhNPnHcgJti0FWuiShXucwACGFzjyokJfTnMhKfsHHb07BA
0ybgYfotuh1meZ+bpjLx+il6dhDgcTft1oMNYEQx2aznsFxJ0br2hQ4Cn6Zc8CwH1gpYvRxiWhpr
nlmzgGZJTV6iJf6oIzLs3ZCDaJ/kNyEmV8zYO05yWyDcCt630NXBhFZ8ArG+Jp0qIhZ6PkaR4tvj
CKV9HUBN2iI6FUy3D8Q7MDnajPJemL2VIJ5MA/FFHe5mmgPIqD0FB6n5OSSp5/Pq06rPRnBV6VB0
ommKOLHHJgbtJvSruhDW/4jtpQtjvQPVhJRzDsynb4FUYWh+QUJsoPNuIA/b67J1ddX2cqpEDlA3
ek/BQCqW2TgIalS2C7wmKEK0iqQAXdLe6DD2D9aAzI/HBx8QnFYAoSFZUsfzADZOCrJN3ne4bGrQ
60M2oLLV4+OKVX2IsuQiO6ROSyp01dIeIO+c7K0RV+0Sx2vQ8IHK7hs3ATAnruPgb8KPo5FmgT/M
jDd+2JH0ey+sBlbWmMJF1vItjDxqwa7cHkDpYnwbjOUo5Gfx5fqqdgQUBdd6YKc4AixNHByfiLZD
C+cIhERXYeLPNnP3DTg8kJyHybl3IJQE3h/vnSO7SaVx0RMk+GzoC9C2n5MDfZJJFHOZ7GU7A9Nl
0RO1Dbj866vQ5aaiYyogi6zQ6JCyToAkltJKEAfu3Wb4lL8bNMlCLlnLM2tBx6fdt6j1e4+gxwG5
BbYUTgS3HV/fojj/mYyoWJX4MGh9U4w9rCCQm5y9dtes+8qtMXrHkt1q517lHJ6b5TS1K+XJpl4D
ande1C95tOR88gJycorPFjenwdZcNyLAFJYLcb3l+TrOfGi6sxXRnsrkNu2SB+QBnSqYJY+Su9ln
52YdXtIeKN02oplHW7jx03KZVP9DILeA7It/9WG4qjSoIozo6eskAZvBDu4DgIk61zw2Zx91b+Bq
XgIG9zQj5yXRtoADAYe0Xy+CwJmRBOzd8LI48ateE3i4r8u/D2PG+5CvHW+yau2jH8O8/oh6MfHF
ji24aYCDJVAwRdyLp9156Zv7PrkxU5QXaYgf4QTIyMl4t8rbaDVQ8Lrs0o32I5LeVSHPAl+GKwWb
EPk4LRayAr5KprnSUcsB/IAFYcU569szW82DFfJVg7pdzR2cU0iXewRnsgqkAEhbN/GekIV3XoPm
Ri5wIqnlmEnNyZLBWQQwTvN0vkbbCmdzIA/IREtEwi9SO8VnBPIVTd+msV9hA0OGrP1LXLP9YJqF
Gzg4kvmKhuS8Du4+XuE0w2ZNJTu1axZzpale+QbaX2rCF16EzExbh4reA/iw4orN/2HnzHbrRros
/Sr1AvwRjGAwyMvmzDMfzdINocmcZwanp6/FzOoqW862UCj0RQMNOJ2yLZ3gEMPea3170924lBGi
VlZatZkvllzOo4gelWXYS9H6Bc9jqxhghSRS+1Et3lTH94tWV3Y2ZdekbH2zwa4yLMulk91uTMu3
Xil30Zjc8aLldhp1WNDpseqUx7aiz3BBcHlaY815tjrwSGqrSbRdOaSlm0xGh90MCIKOvAQCDZ56
lgUIKx8bBsJgUcJ+NRBiL1rrcpr4yBhfjTx+yrWUWWlC79vGRLSeEJgxeLFKKW2pI2XqDGHLdXlt
GDlFJfc4DPZpAbOTxx7s2nc8Hcx4tu9GCl+6LwdYQohnE7X3oyTZrRR6PYHStldE1MPuZ5Dbmf5h
pJ2z8o5DQYSrPBbxglSGrk6R5WHRt81NqtxkLNNCKLw2JSnAJAVnlpDiRUG+P/4lmkNaZWy0lqG6
GTI1s2Q7Q1OCIwrlezd32vugXCI+uGmZLw6YnzwtdqNWX2swQZWMpJMsyJXwqGuHjBHS2BzZM41W
DaEi9QgVl0TvflR6+1plBWSUSmdwj+DGrwTBsHlnyrHbqUiyp1xZ9+2wfIjJQOBQlxqOTO0A7Ybv
sC5fRS20sEnjBf6UDq09pXAhkhHuESyitc5MG2nnapUKc/gpHSFuGCCEsJ1kxFMicd9kZRvweeid
EgyOQ2WGlBtp1JBB0+oNse/kVEBw13CUtPRW41BF9d5bjKS2KpBTu6HD9pgkIsjBdBDkjqtlTjky
3DpGNFKNL/F4zjSPc6SxGvQkS0+RDtRjXduVNli9UMAPUOMNRu7qTlmiWtTsnWQd3SwrnrUFKyBp
aQ9vpIHwU31EbXMo2/Zu2TRj1RBWM9JrXqVnRt1ZLfpgWKZPBfxS2OZwCib8WEWQU1VclPZq+oMe
By17zdhkIpFr7pUoZJX8kcxpgex4eG5q8S7pBIm3fhF9/NEYI5RQNdTG7G1lWufFHVbuWnfPE6ak
PQFMq/lOT2ZrJOKskeU4ie4k4ZfCwa3cLi4KF2PDdBLuoInEqlWeWbH+l+jEfrAFInR9NfOJ7aY1
e01YW9lFjWtVZ/qkZQaQHmQ42Ar4MY9qBgKo8HrZcRuqc2XlhR60QwYOp007a9XETQfSEQaS1rva
ZDyrQ3fRCDiujkGQaVYVeEzJ3XIpK6c2yVW2zK0HZfDWNsWuYip+DYxFGItFDL22ea4ETat5ekzv
E7W+hbgtPSCP3hiZ43XJ+qtk/ChX81AO/CaJ8o+RdR9TG1+jFDxU0kqr08obZWFPqSbuVZk51QDp
WpaxnZGUWG38ONKKYGXDDGy27+e5PRPSglIRpkXpajXaCOluloM9rmtr6ZO8Q4L3w1CZ17KIwede
Jycvi7vuSeQl1lKSECvn0IAzDstNH/PjMJHjQnqbZNhhS+B5MM4BGo4TszLYQI7+illuWApUQF1R
f5RVMdhL0zkNVzw6DboFNOejjKHdDzwFytE2vhSysmm/fDRte+pUgBXVcts2iF0X0Rs4VyMnK9PJ
NqdO2MOU3vdwS6GdwxSvC/gGvG9sei/6All6hMC+MCY/Tub7ou5eEeC4uZZLlyTNasNGsnqTNs48
xUGlzz862cONNsZwilfVrpRlRCI9pVaktJvWAHRx7kovA85mr1GnIYXOfcgaJZSQBoJfT99Nlrlr
LRcLzw7uoNbc5mr5NCMcsrtZVxHRF3bOM0cyYuxTdc7slSqGkyidQ9uW2SnX9p0Ji5MDh/B46yYD
4y5v+8iqcyns2cR7rMzhTLoFShYjbmUYXiKUHHm1gDZXKl6ewx2eB347m9HR1NvyqA/PGchHtxnz
R+zCT0pJHvkC9WPIG9dYc3glmVLZ+oUXRb/HwwqT4qnsM9iM7GPjVOM6yp1iXSEDKkagMiGtuVFK
iP1Qz4z1lFdUsxv4Vw2fwzg1j43qJn0WpJl5y+r0JYPPRQh9q6gEV2m0H5qIiQ0P0nBacIVFOUEJ
N/A0NHdMo9TJo+lH1CznJYIqiBN5o3snB2GvoyPudHWl95WeM0cx894eIm9sYoyj3OpN1gaTYV7J
jJgKUaxD16R19cj8zLX6Djud21ZIOlQOZ4XlGfROo4fnmgMZRL6TmQMcAdocs3l2ZcIe9YoPQD00
Kwf5CAwSykTZvhWS9H9nkXk+7lJwAEKfj02ZvsTTrB7UfnyMuWnYhVr6ZZrPLoioT6VqLwtXfkwg
8qL+rG+AXgpSr/gL2SMyseAS2bLhd/HaIqQCnUhikTsdX1/ptK5eo+avM0nB5mhvGh1CLU+JvWy4
4HP2yDd+sAFIyDeicB3GWwrEUJ3lK9GgesvhFunEKQOKOGxMYrG8D0AUxwbB6WykoBZ17aLTXHUG
A7LQRExH6ZswAz4NS81vWYd9FXtlDxiyiJ61jY1cAElGgCVpm3hzO1+1yBpIv2/AeZasULGn6IdK
vTOiFSCf/MyrDXXePkSVhhcL8QHMeGjGPetyNwe8yXXtMWJscGVjvGUb39lvpKcK5HPVX2AszPa6
saB8o0Jb4KFAV2574KIq3IVk40erjSTtNqaU68cKiKm5saYtoFMFnOeUpccWMOpUKRJ8C3yiBaDq
BHOGTtp7xtbFpmN6VsshTFO+J4kWjhvrur36HJNU2yjYaONhBcDYFYAssORTUiRvMcDZpGuC7WIK
ALUGwNoGgG0635GNt+0A3k4bgbtsLO6iwNQz2vsqNxDc6uB1heQfsYA4IZEdgtI/G1n3YSZxB7hQ
PADDwUovjrIWr1Oi9B6cIRdai03muApMTRi7ov5RxwYImR74oBwBjWsPGpg2G97yjgE6VgEfdxuF
XAJHnoAlIwZ+VIqpdOf6s4oIcbLolGG3DKM2YrBVVxxEgvmkn6ACCGM/D/IDLl4DJQFEdNJeBtNY
bbV4nJvsHfg58Aik2BzzwOtMHiGeyLxBwaTukw6KZOaYMX+V0rhJVKbYSuRip1msBY6BRVkuLS1a
cGMcsbNoHxJ2hc5hwEYkeEIb842Vb1dtzBzQ0pMjurcR38VHyMRUv5k3bjxS+LNU19UaDEiv8UaX
LxtnXm7Efi8pIrnRWbUkO6sDuB7dKFQrbsl9nq5X2PNY2BvDTtcIucFyu8jIx19WVslGRJwb+a6V
5bNe41w10vsUaLyp3LZ9Frm0KG55Q5oAgXd/5NBLvUFm85kIKLtKD9oeB8Rjt/H3qAFAKtmAyZ83
OH+j9MXG6+cbuT9tDP+S4RAEAnU3rtmzYfoLLE7UQDzBNNnTvn/tUAygpMj0QJvsKClxBBUTjJA4
vemip3Yon03UWiDFasE59sUuAZeTxGBRk638AGUI2VaPMKIwIeZYJtkML2gl2adewuVCEQNoUadd
kTDGKG+otjqHAo+vQeFDHZX3vBv3kGKklZiThJ+CKgmlJrdjUekIkIrTuDn+/VZToVTZPRIhwPoo
t0hI/Jh2eJh9pHG3T+4BVESWktZYuXplYVH7GYo32miG64dqjmpKuc23Ao+t0kOi5AN0P74v9ppO
s/ukugLqC5bGfCAoFZEpP2aGBo7/0WgkAP5037HyMLbZx7rCOlsLYN9JN4WZUgdy0l9YHO2kAtOM
TmbmLckZZkF1KFUtSI02O6RTlV5yZDHWzMXiaXTyMyPhYQOFBpcGDyiB1qVqNYyKcmnAU6svgzY9
JFEM4qmknwy7IJSgsOhgBJmiRYlB99Hlj/juhzRfgPTNgcHXF4E9HsBR7q2pFqwZQqC5IRlqWbSw
k2NQbOxBPyKFqSO4ZWoVNy6ZkWjFWmuLAWDrOg4WWfYal51b1Qidu0Q7qZHyqRXG6jPShSXFpUZK
10H+gKTf8AZHq9IjDlTuWz7i3ZewwI2aP6qoqoD215/NunxKdKvKqtSZk1K4cG6EYb4bAyweqaax
p6z9BACZIY6Jb+eBbki5esoyfu3kauGQlPaaDQqyo9aJ4kZzuk4cURME+AB88zQgFea42a7Atclo
Che5uKWoYgiuqW6DgK2hAWW63YBKhSHRkeEcTf2Zp/m1HyMwCSPc0oK9xZGwITjFIdGvaqKDPCA1
OKSm1qyIJI8D9DhzwjzV1WyyV2Qr9ir0mxxwhg3QzSaou9j3KqB0EikNVslTuRiIuFVa27JQwhKo
gYU1/LTWeE8IRjoHaBIsSktr09RpQcxWenrtIae2eCraqJy7fLhkhaSAn7GhiBK+3DqzhyJGdt/B
E4ZdXh+kgJOMuohc38ym3lNbFo7ZcM7l/NSv8etAsZUU5p0uKo/R6aFN56dcTkGKEZ2izD4J1bxG
o/cTjfeJkX6aYwbImcHJWzpEinFsyTm/ndvuyJDCyH4KZph+qIuhoTINZ2BAN50ZQ/LSHmV2Xno1
cSiR7mAQ1VLJ9K73YJ1FejWZQygcUAmNyzVnejA1J601I2hQz+KnaQclQ5VOq1M1/GtsRcydHbVd
aQOgAGtS4mCv1YvS4JhRdNY63GT+WIv7XFte5Arsbwo0Se4gxdbgd2Aogp8/iQpnEm+dZgRJE3fd
LiHBwLLOMnEriMPgaVdivc1Z6TTdcsdTcjKL+UFTgZyszXCXTc+kAyex3oHs+UT9CoeAWsd2GjuV
MacHw1S93IQtUDFQWw30jVyvNIdCmGE03TfqDBl+vdO0jb/hA2y6imI9RCJxFTBkk8g1pxByv8A5
sOc0bp0MhXYW6eenIgcmHGmtk4MXcviPrOI7LWqpS0wFgq5yaRWOZdORe8QolS/hqCcEzMaCqh2Y
ZIWTaljKCbgWp8nle9clwCNoZOs8u0urGWpAhH/PmghZCxT2Sd9W48wh5zUVqki6gyLfJkO/bVa8
b01TM+TQsIu1nKHYaOyg4YBSgr1GgLRF1F5aCMz9VHhEw/KqJ6DeKwT9PJ0fiT7nzjRDaltodira
Jj4YYvU6qcVuFRmXTtENi2b6aSZY/bttmVHyQCMt7LXusJaw8ATEEjtRkH8p8XGjaok2AIQXR0DK
B1rMTwYQ7kN8TpH69vpVB71uxebk9xuTQrWEemscllpGTkai3cs4mSDR158QxHcRipWqTXGJ/FFd
nG2HKGt5gacB0LSyux6FZtgxiNkCkssVP8swtIBXThlDQJlm17KDm9rCb7WKVdzS4RTpWF1GbF4V
iAhYv3FiT9V606tLiMN5z9qysmdt28yqyilZrNmKOk8WtB89Q0yqFG9zVUFJWkCTb+yhyJp9Y47H
qLgfJbZ3vYP2u/TnKVmttjSOnUyum+cqOxgXMKStvCfS1jBcxk9rlVz1lcFBXhGlUoa3MyznBuoo
VUbNifj8NJppbdVCOdZF7Y10fNqw42iqzwP0jSnpV8jGZuvlDMEzMEEb8JtwwJpV6afU+kNCUC2H
wB+LaoCXPmGqzHOyX7FqapTpqXR56qp4nzYCUlK8L+ItbNd9U0OVTmMWQbKuz0UXDW4+5dD4K/4C
BnD7YJli6lk6kU+kmiFhT0Gr4DuW7FTl0+DHc+nFiXKXqcm16hpPVdP9ZE4gGFEDWpOR4IhBipdG
MB5iiMKZb1b6sRmQ37fYLDBgXLW35XhXrdrbNE8BKyqnWUZMQv4WEf6mFuRlTJutFOwcV8Cdsicx
PusKv8xjH2hEvMDTiu0mw1FlbhKQLpIrCmk6zXRVIMimgQgokr0nAJvgQ1gYY3ubhgJlCNjAK6Tw
lVE9SKwInCnYkNRke+VF7Ma56U10eopE/EnEFPQI+O0qT67A5lG1EV8LZXpgFAj9TAFVdp4yWWWk
QEVUsP0BgH0ZevIfV7fUIUkSdzbcGMGYB1gPPN4CR8tMOLNyb8y5Ztc9/gnlPM9QUX8oul5bnGDu
AqvU3REFTWnGU4vHgRrriZ9meM9ppe9qDoulwtGbbTspskxilSq71yLIkVnmJw150Sfk+TMv35cc
q7XCCxUIV+YcdllxX0duR9vrYmxnbYYoQAcnDHYz8euMvEdmGpAMn67G2W7MasUSxfqkp7o7SVbY
FY4CbHLVAB/2UqnwI2aInyaKt03NsBNOPUUfpW1sk3IUhFvzEt8alB4LE38Yc3DGynA0a47StuXT
jNaXUuLhjasGCVkFUZUynHEYp+U3q746wzDDRO0V3QJ0PcSLp+oMRg4LWdQ+DJiOKOFa8zecW0em
d6ftzYyTwIe35yqbb3A8cvYs0jFs1w7ke3Io6w5wJYoaJdaQMgXwZN0R87fW4cJUy3u+rE6jpp+o
YL0zq/6hNqJjI/W3KMJUi3v9BqBo506V/tYN2tMIwQOT9jZLk2MfdWdlfR6G2qVMu+my4VHv4mDC
ZqmgLkxEeFtDOgdSLg+Tmr4Po3bkEnq+0ONjqrM8VDLIHUiULlWU7EkkgfLn8YyVUXmStDu9wUMV
c4F4B8erPTZeKxi1cmbcFaw4EHV75nTsrLqq3O341Gg2BFDcrgnv33J9UaGvJp+ZOj90hN+ghNUt
MaO1iBxz2NFknELIFGO4PRo97g9Gi4nTruMDwTuytKa8ZCNQxwTeEuP1XTc2tqqQO9Q5b3IEuRO1
dGWlvugi9UaF+jKWKKbARc0Cz27bhbI8fYYKP1orUGs1AZufLPqx4Fio6bKCdjSOSB0+U8lCs+M3
MBPB6WdXHXsl/G1cqsngwHT3zDBvVgFoJilqyyimBxMuV4wUcaSxVynQAwgshW0TWAoamvyu5twx
Ix3yAA37rFnsgZStrXDqGOVw7qrpadsoMo6gL2PLXaWDPG0DtU+uLQ7CZpA/UnxyH62lKzPtZruz
YiUv68zf+oICzcw9vezPuBOkK1hzJh+DmWGH2j6ew0x3lnh96Tg9zBwWewkYEURh64E+XpUAgcEN
h3GQ8FcFsj+f0yvvUUKlrneCg9gyoP/E0wPELmdp3/ph7uERaDcs5m9DV9YOU5HQEVQ3jeMDXSAf
py03namWzhaati0mbTP4kN9f2Dw/bE9Y9niisBdwUNk5EvB8xopHvA1XPon3UVRHTm7YKH2vwzYu
j2NsrCi8rgevSzmKBzSnTxF0jqX5lLRxeyrm3TTIHEWZRuyQTPrDQqXXw6+31l7vj2qGU4PHKC+a
ql7xEFGdwdv9RWH8B3Hz/3mg/1O/CZUbP+EqG5n0S7+JS5dW72nzOtT/9pH+G7pPvL7/0nnirx//
GxAS/9KYiSYSwgDxoxFowP8bEMK/oCGFaXJhGBvqo4LO+a/eE4ID10GDCZMygxrqf/WeYP8SVAMf
RARaUAjC1P8OIWRq+KRfECFiUM40yilD0wbwRuiz8TNkIxLCl2iEot/Sa4/MwpH7K3cWe/VQQeKM
wXERjkQpDQ4cm+wmF2Gen/rivC7eigRrWqz9QzxSu6xtn/mDi51yeZo7aye9pHQyb3paAr4b3WEH
M4HrO/RJmFEcenroXcDWQRkI1/BwjCywERrmljq46geyBCiUgMCVWrUNPgKLhd+gHnTEhaEuwhvB
c7uzF01W/MIdaV8lruIq7cg1ncJPQt3F0e7kFqojr2zCWXyQqBywpPWANX0gJ3otQkToOxyeHt01
B92nPij4573iFPgQxSGPWtDtCpe+pV7kyuABJN4t2EBrGwEynjjnSNwPEWh4NxUWuRmf6REus3WN
wPKrZx0Yh/Wwuz48mNZxv/1hsbtDEfbuCyIUS1jdoTuAGtrliHWtfWmV1pN3dxdbb7PTHAZHuuUN
VEkrf2ihfcL36IW1Jz5AZLyOdLVN05IPiQcxQuCzhfWSWnd4VhagW2fA36E5xLtpKZZuoxL3rXsG
eXMzODBQDyhGPC0m9JR7lVY3yNVSPxsGS6IThQAfy67t++qTsAmGvZY5qKmumQeRAnxYfODX9IIg
0e8DdP84D+tGuaJEy6VnyHOy3+GXbpwncemeVq9wDCc9xCHmwQPyJYs7+kuxayug/h5Ijt4BxV5N
l9YpikuaWgqEimvzBlUeQoX8bFDHbmuf8Dqv0pd+4QzveuOA59hXKV4b4+ELcB4gsyoIAbxraJ7r
53jkYH98eGy9j5j1sWpaa7TIPcPd4MEdRzuibvcSh3Ph5Ek4o2VJeKmS8LmDs/NDQjaVqKSyMg9l
4nsSQlY9dM/Ly4QGB6g+QkKAgoU2SOBMj7EzxCjI91viiENP3HF8XGObFyfzChTVaXzjsTkmB3pk
t91h8uW9Li7Km/lWr8QhoFFGJH42wxdkl58SRznX+HOmHJFtErvLD1BECfdK/G7Y+LqjwEYsvfGn
gwirGbgBTnpXM52lcql6ZH0I9xHAv/xRIXpFxYUJ0tlr7uQriCx+GM49PqMOp2UnpVMnAXOiXXLJ
wuzAJX4ouuIjnTfAC9blctjh+qFe3YIJxxZQww5LrOQJAUBzB/aKwY1r7f6H/qIfy33iQxtHdQrO
fZftck/BBOvgICsuf+/x0+hG4juJi74GpR3VXgxewRpGeKqOAovlCbOu5Vb6qF5gWPFnB9Z8dEve
M88Ci26Nvgy048js0dENm7/jxkyr8hJPepcFHJVlx2iTg/dC4Udic4hPqIC/h9PnbCuYsPvlMckd
GFn9G64LyVNlN08c+4awx6foml3i/fyhG277qbxJAPe1DUmrh8s7B9yv4sc2BiF0R5mjBsux8jTb
W9wFTpw1hKtzbjy+fwObjV4mVrrPPvKTvgN6pb+iMMzKP6MKjwRopfFcvJWK1QX0+RIfzVeW2h10
xAu9YZfUvGcZ4qvndQkHGwTIkT4bh6bb2vCATLbeSaiuR+PswivyjSeow0dIuLZmNW/0ErIbX9jq
KfnBTsYFmJW73LLdqQ1RNQr5DFzjjchD1JrB9OhwQ92pAVcX5A62Zff1NQnAxaMk2bpNgvqyy1xm
P7oQ/KzT4rj8ShP3nTrUie3+gx7wlUUc7al6fWbYzGukfNbiwZNyJg+tFZzKQuWvpdqzO7tFwG2A
FYcT9VT7VFndQ5842nnd4RYs5NxlCLXPGVzjjHQO39LgZyFI2OghgaorfI+JohurOPHd5OCC8Ovx
oNooS6oh9sEHClHPnx/15zxElcbwg3MLXxY/nlEquF3FaXhYUFy8L/zGKh6EixQd7hJs+v7QHiYP
MuQIndQaf2R0h/oL1OQCY7AXDz2OJP6H8D3ElwfTH1GbBU+0H4C9WNEZlYaA9VVfLh5CQCBjFoAf
7inA+wyA+9BYjqi0IB3kZA8tLy7cf1aOKu4BmldiLaim9TErHeGrLtprsdd79I7Z3drBDyWspEP3
+t7w7k9ohsFTO4Lt98rtPOxwboqjesone7lAp3Ck1zqtw/ztv8FVrqKxlRecsbh84ZeQUu+q1xz1
ZKbfH3BRxhPaO52mA8qL4EVMVnI0W1SF2coHBBMxQFOwUu0cuVfT4agCsAp/Sc9jjC4fOOf4c4FL
hgjMMjhzXqMEbAxMRx2IrdU7HXVq/1eCzf+HsHLtT0Hk/yriz+5XrBzf/3fUqKr/QvDHgI9rhs4F
pf8ZNSoG4HFDQGYlJvqWqaDL/zNsZOJfBC3EmGHQjZqGZPufYSP6nJm6oaLJmIHAkui69t8JG9Uv
USNTKQJXwRkVFC3VDBPX8HPUmKEEBS2N2g9sXlhYfn2EH3wQO3mb7ITz00P5JxD8S3M0hoZtCFJV
hiAZAbTYAuifx4KBW7FsmLD4HBRb26k773Wot+HkZUF3NJnV7v88Ip76zyHxbwMiFfh5wGGss3Kd
MWAy7tPhOdVT+88DqN/d0hcuvxFDzaAnF9ZkqzhW0OPGsLTnzu1DGigXgKLZ/3BE7UuYj9wbCkuF
ERvDb8LGGwPyUT2SszwMJyj4l2/f2jcP8a+846eWdoB2S8jveIhKYPiq05zhysX+vGvD0Y8dQEiJ
/81D/Tonv8wTbSsn+GlENR3LqtseKqJ6R3iARTzdwcboNT4Pvxnrn+8OqRN6/6lIxLYX/NNYc8IM
0XY4IVBBGsrZHt9gNwuggcHgJkF1bRA393Yfffca//EeObJFrnGscfXLWjBoD0czhvrz9z0WTuQg
GfOpQxCJ/fketzn4U0/CbRVstSMmNRhRqU6+zNFMFGTqYF/jFuOABUOATkgeDfrgz8P801pQGcw5
pJ5cpXiivz7KpONCRCr7+5YUCwYDbEUHOYAzHZib3qqXbwb8UhTz1439POCX5Y0uAkNhrhiwc5IL
fW2RJvrINazJWUJQKYCqHLTj+GZP+efbpDqmiqFjP2NfZkyExmQJht2WPPpP2D2KzRDj4o+IsIZj
7LFvpuhvM5Ryjs2eUBPHAKbo9hR+mqFVbBaNyJC0mPTSA9HIpr9P618qxX4u0KG/zcVtBKqhp6aB
E0fbNIqfR2hF2VblDAOndyNfvlS3UKJWfwJOd6k8xVVvjFvjyQiUUCLddYDRnWrpffMutzX9yySl
wJ9MTgXD74LrXybpwJZ2jkoj/4+nWjjl5xCgA1tYetWxfvxmtG0qfh1Nh5dDCYP0wswv79CM0NGk
kiUOhrB/oC7a6VyKW8XVHOmMu9XWvM6nJXo7WN/uptv2/GVkAy6cIdCGVKhCfFkkdVcyeJCYqqoc
bbkUvkblXkEumZFzNaAOJh32S2o6I/DUP9/0b6uFcgMFaapQdWFgr/sycgStNAPXjFptRbMT41gu
syWS/pvJ9Pvy+DLMl0WZkGFErQCG6d3V2xZIhQ2c3+Sh6va3iiO/Ge+7u/oyb0AjaIZEhyYrAbCb
MRxN3ZGz+H/27Iwvhy4x5hxmP0ZZu3CZrnUf0OL459fz147/dWb89H6+rsK+jIzajDEGGhOEC7qy
uKhKQNbjoF2ivX4ugRYozyycgm93tN/XP0r7sPR0QHWob/x6wpPUWFhkQpwoDsWldKMLAEu7vRt8
1IR88yB/X3gYymCIezlVQYh9WXjJOBeyIRhqqIk99kDauauikmvhH+gf9M3c+Ie5iNHgnKFP7hZp
f62a1Odm5TJGXyCyozaakp1hQbkD8iuUZtjNvXbz51f4tUoT6qvOdMQRnBigGFFK+utG2vA0kmmE
Woy/x0NBumJTpOmfw86MLVBJtgrJoD6T/QKR7Jb5qr0dUkqIVgDqN8eG+vvK+PVivhRdkmnUWhgL
23waw8oBsDS/kefukflJUAKpsCGnKM+G++dnoP5+XP067JdtplgazscMww4OWkOFvY9wEaQpyF9n
gfbQA0sYvejbbWe7m19XD0o6hYHOgOg/bPwWTynpFBWpsrXj9foHD92LXDij+iX1gQZgPx/9MrfL
x2/ulX4z6Je9bmADKhsNDCpuVQ/dsAIY3/7kMDtzYyfz/zzaPzxYTcUJiVpaXYPd/+XBglZHmyPd
RAMo9TRBuTRAeP95hH+YMRgBzQR1g+GI+Gt6/xRpJJU2YWkqINmTY56iNYnOUEbxXZi4Xedvb+qn
Ub7My5iXDatKjMJ0vxOHeLkn5L42IXWySyEDMUXnEcb5grVTJodWvM4oTmgNICJeRsZv9iP1H14h
ZwjltuiKkN9inyEeUair4hWSHVaJl+5KGwqz14exTfbsm4j1H24dncjRalwgcvx30s5ruXEl6dZP
hAh4c0vQy0ttJN0g1OpueIDw5unPV+r5Z0iQIfTeJ2Jiz8WeUbIKWVVpVq5Fo2hyP2SJYppDBsWB
EcirornOySuUEvK24tFSv3/+MS+d/xNjk31OUtgfnBJjAW0Iba3Rwkk39hdGc3fFOnMtSqtzh/+C
A2HSpt9FzUJXzEkgmWRpZ+g5Ob0B7KNLdtpw4x1mP9nFXRQeqsiGKjK301vWC5ysiVsmoQhXH0rw
5m/WVlnkN+Yu23pP1kba5y/tTXxn3s7sqHicJp5rMNP/X8OT415FYQVk+MPwn8g/WNq8lcmi2PE2
L+e85dLzdWJvEtv0SnOopY+Fipo4AJL6i7JNKjIcmIFsaOEWoL7mno1LB4JUwDQ0mfMAZ/7p7kI9
ptlFwv3SubI7XtN/2ei8mNJGXgAKnUmmNLGE6ZYaClkpeYcG5HnqMVHQp11BWVJ/sJbVyn8UCRV0
rNf6y+FeA2qzgDV7/a5s7aV8JzJXZZWucVy3pcoNfeKKA7Qbn5utszOWwMGW/tKce9EuhEcGI2Gm
Rq6unL/qeWQACAJETgHksNNX/t7bVtd0z9z58OjiobXJn2XII4jWP1K1oysYOj5Z60BJE5kvwm+9
5vbLwK1hBFwxBvLbKNcDRf/DzWxaculMHdsVXnFkt4THwAAbz3ZTI+huwivju7Mik9/A3GNseD+/
2lC+MhcxnxFdeLmNY9MThyu1RB/BfkWL7NncQLvZbNINQ1v1UveX6pp97hfOUtMWJT2kmQM9t2rx
5B6tOkyaVO1kTJfLtlzWz+VOd6EOdu0lpYt8Uy/6fQ5H3oaRuM2M6UtX5fGqJ09BNIZaXGWYbpVF
+tZ/gZ/VXzm0rZajm38RvYXDJuUozL13l+4wrmbqMxo0IkQTp0uuvAp6vIIP7X0VrwIz2svwa/dC
E5cmubRkXvnzhV6IWowje9okcwKSJMm+sKfrVNJopfVx8q/WRFYBVlhWZEipTtcE6efAMFMqnNd7
UNbVQll49++Mjvy2t7D8zJm75DWOSRlbEU8c0I9Tc1lVmkqYqeKGhG58oa/iV2MNwfI6dnMapvcG
4d/w3X6U1p9v5cXL4ciwMtnLulZSEzyVePho+b5ka2/53r17a5peS21V3jRb7cvnJi99vWOLk+s5
Uhi7zVWcwkhT6JWrhaAf+NyEcun8H9uYXD0Hy2dGPWZVNLyLFbCQVXxFyXdZbuMb9f4ja4CN+q6a
eXrmliYOytHZ71WZSU9hNkpfZfWXrN/NrOv82UBsAaIZOjuqaSEwc2rAGQs7qGUv/LhSYc4OH8wl
jcbtIQGcMnuBz1kTyz1ajqZLQaI2H9bqHTNtIBHoOprrDuz2cvYWEZ52+myfrm1ye5Vx2Ojewf8T
JCjX2hasxqba5Xez4cj5PSmSORVAEzgqqqCTw5ZTEgycgHUND+O6eFS2eg6F4TL4XVzr62gFxrK+
SzazCzx3yhOz06M21PZgkMqDy7yGVxmSZJ7h7Emib6vfAfV4Fs8wyOeZB+ncJ21dpdALqZRCdXD6
+h/apndMCTRoGT0O9U0Xvnzuk5c206Iewj6KHos+2UyzqSzrADsufENfRxQewkfTmzlWHzszdY0j
G8b0knKcaDyo2Oj2h5381dupd9kt4fHOnruHxcXwmaXJ5cRw0qAw6Q+YbK2A51l7OyosPNiUN8ht
5l7smb0zJtfUqKZRkQprOs35GkztAaaL4NfnH+iS26Gj4YjEjXr4R43w6BRDjBKLQn0IMHZfQsaf
tsEmiZp1nBn/YvcMridNEdpXKrNPpxdGF4Fp9VR8Lbl2nrNlctduqQw9AtH5isrSjLULjn1ibLJ5
qazogRFiLBqu8uh+0L9+vm8Xnkb7xMDksjWMDkIkgdrt9t6mvk/3wTJ27SeHXAm29aW6bb7rc+ng
hY91YnNy5bZWTcVEYVEwyNwxGAq5PteuCdcIzcrytrsL18ZO2s3FHxcc8cSs+PdHPpIUCvTUEUsd
wFMq8mMA6A+O9s83dM6IWPuREUVCJs50xNooxdQD1Sb7Ry4/fm7kQq3w9KuJSOvIipqbozOQ8yzk
zeB2o1vfK+xgvX1nLDILXRX0HaydM0YvvJS0JzUKMLAHO2f9tBIyUt1OMCoS3HqnbL0lFAi0J8r5
7vKcrck2ZkaTd02KrWQH1ceTvxI1YJBI9+nd3P10oVoAIEST0bkj5CB9nBxo7WB6St8D7C8pvEoL
Yxuu0o257N2G7uvhZq77eslDRPBrg+O4UOvW4ZMYAJaA9/RuMplLGKbtFNatz7+WeiHSMI7NTHaw
L4w46X1W1bmgEWULFbOV/FaRptF29TdG4FoMni2Ch/4BDgf5un48bOaCK7gaz16akx8x8dPWo+gc
eqz18E7SBIsLmFhvaa1MIHHM19pfqmUHwk4kUCppslu6fxFzzf2ISfVpNIrBMcWPaBnbWEhMri+D
NUiyReNsGDpaG18+3/pLdzaDIAg20qyU6d2fHk6T6ZgcLQBQqP6XIfpqzd2fItiYPN8GWaiOTqKA
QEzfOk9JU0IUTcTH4Oy2zkrAEkogyZ8v4+K5OLYz2beKXLhvhAdZT2D6hm8BvkNr+VkCGr+K+GRz
Ra3LFnWUJk06rupZHd1sAlOO0YzAZ+1N/Ki6oIXBVQlUkIHGyWrOPy/sJLECVKOi+WQq00yjiCET
aQ2FWyZ6LYNXGc6A7gHeioVBjMfRtAErzGzqhbfvxOTk7dMDK7I0mSXWz9K77pZ3ircwESdamrvh
ffxd/DShCFglv0BLzlgWL/nEbUwgJngkuTdV5kkMm9WawyzliMDRE3wXS1EtNF+0B2mjgsKEEGQm
crkUzx7bm8az9gDDg9dgT1TGjCvGehYxwNx/g59RaeywMD6lbRP8Tw4cAhdVQceSWS6qvSVz6a85
WOuCqwVtI3VxcP/N0TixODkaThU70CZhsaPOqFJ57eAncEPX2WQrobdyNZtXXfx6BpVe9N1Y5LRD
ENXQUFvBh0VRQteW4avkvnt3vFBu933uYFwKC02ThoROqU3RkWc9vcMSW+tsox1w02WLmibDcIte
WqKeASwJPO/opohMfKGKvPoXXgovsI6TqrSWpp2eIvKitEr6cNHftUtYpFXQjtAQfIFSxoXVK1z/
u6UeWZw8lFGm5F0osVR9AxLxK9Msm+gpdusPXJJ9Fe09AC1zh0M4yPQwHi9z4rJGnQZQpGM0/mY9
69+cH8Ha+9Ju/Z5md4sbjW/Md8dP+mPwOnvLXoituOz+t8UT583tOEtaA9sgql3/qtgwlOca6FpE
+9mDciEKObE1uXTMgKe3CD42t6clIpIL0UZXr2Ytnb/yDpkfbS1Gw3RmzCY72sN43h1yWNjFJSBA
CyIi9tZiXcF+tqJ4vofwkqgWIGQV7Bc3z+n5YE4auRsl+XPlZPcNzZ535JFu/6KvNGdKLPwo1odh
PexGm4Vl1aoEt8pcyW0YgAkwmEOaPQ3nwcvpwsQ9dGQNCgeVHiTWmv1Nu6Q8u/klfDL7BocXwdms
vbnVTd5DtXYyON44787TuES+aEsieC3gnNHrXJP1QnhxurZJAhhI8CPUB9b2fwBEfwVf0qp3ix0T
3+thM3OXXVwbfU+TrhSlgumLix4bioQ9a7Nv7H3lhvs/xT7zihHDf/66O1gwIR8BiKSYUzh6zWTw
QZaRH2zBjonPJg61doP27zpdO8s5BMcFNxG1D8qKAPTBAUxPG3xehWlSIw3VF4nJOC9+mdm8C+f5
xMLklioip5XK1hcfi8ksxldW/Rbu2qUK2yTw6bkNVM8fWEfTKB3JvHom3GgTx++GRo0DnWYdjBmM
eBavIkcIaFFX5AvjlQenARM4RPRLmIN/WNYqX0EXjbzJ3NNwaeHHP2RyIsi9C7TB+CHZ9bDind87
K+cr0tpredstjJ//YpuPrU3OhINUYl14WIPa+03sccFckqj8kBnNn/a5TZ68tY2t5Q0JIakel3Q4
LqQfEeV2FMdXOdWff5fEnH7WiaM6QV3a0AKK9aWPdXClLOBotn8itrxseOoPOzR8577gxVWaYjLE
MhlCmZbeYfMOETdgT0VNjeLWNmOKeLg3acgz/2cv5gyeVxRYo2UxhmKijcWMy+mdXQUF2EBJB3Rb
9mgzSa4tZ7t+rJaf+8qlM0/1h5zTBId7VgTvNdtPOpUJNR3NZqeDrmYWynlx5/5nYpoz5BDLy8jz
iK/lb52YFAVY+tPHoac1+AOW+7mq+8XTRilGRcCCQHeKPBxy1AylHAhsvYzfGJkAB1+mi+ybspK3
yr1z/fkWnvfsYLIygPqL/6K3NcWk0wlM+De9MGctwm24T+4Ciq3WjffULbsduHtXlt25QYbzcB57
pgq+EowqaM4pNgU+nl5OHUos4e9mhbABI5tQtLrWgyiDfLRk5k/BmVd+2HSAkYKNt7RpxqLVKRK4
MRLK3V77UgyL8FZfRevwJrkq3jsGv8E0osW2/XyDz3xUGNXZWYHzc85gMY5RyY4fs1Abwi8/j1ZN
q6w/N3FxXXxDKjzg0c4A98mA2lF2QIYDDYgi2B6YVzX3/18mrEkryKdfAikvxOeKc6MeHo34KWnn
uqxnhQjDQViQbJIrg+m1s8+jx70KTyY6yav6OgPjVm6lW/ScbsJdtySL3UQ30hYSns9Xpl4yixqL
CdOpzFDNNFeXg64ulMj6DUUAyLoKtj+Kk6t4hazYVyQ2Nz1x0tdmPa6KdVGsREAt3nrjDgYRdAZ2
n/+aD2snaRibYJo0DFU81DnDHedDWA5Kbv6GQWwpbTuORrNptzH13/Gh2AmYVL/5iwfiggudmJ08
g37fOs2g65gVOIgMufePV1DaFGtmklfwN1zPLvUsGJ0sdfIQKnFu12ps/s76dZ6BGYfs0JIfJFV1
5Xgd1t+jMP7RwIb3L3ZYlBGISLl4wM+cvk02SixBq1i/tTvKFhttDXtj+vBoL5mVdJNbVJHjO+Z3
Z8O5C/eAuM//a1Zc+0dpTG3WpoJe3O9COTwie6BU+tPnC/uogExd59iCeMqOLOiHBmatkS6L9wqr
sOBGCB+NrUBgJcBLjFtjA7vzVbuSl+3mAKnIXEXo0godmt6ybBGFc92d2vdLH0y3qv9O5deseWuS
h8/XJ9xhurzjPz9x0VEJHMTOzN8JoFRP2YX+vnopw26DsMLyc0uXHifmDHgjCJiYcJ3eRJkPZECt
Rq6E4Iv0LOZexh8SRW3pQXOLJ4Q+55FIlw4glDQWKBPmDRhkOt28SBl81QtMTP7B94ZMktdbAfuQ
t/Yq2s3nF2f7aZJYgJYGDIki+hmCOSnyVKny8TdwSdGjThrYhKFjrrsbKGk/39APaNjJtxO2xOtk
8B88ZHLmammI1Locfssb6vbknhtrrf24adf+Y3YvEsN847jVEu1ruiFuvpHcZi2vDRfuELe71rfx
k/Tl8190nnlPftHkOI4O/KV+af7Sb/q1v234Ddot08wr6aMBM5von1WdTJl+nkKUajClxsDM6edN
Q6cxoFH71a7zW3Gha8wW0FzazLUOz87ghx0mswUyhG86uVMZJy4SpHV/jcVdpVNPU77O7Nv5QuBE
EpOuMgNv5yF3jSy7iuzdL4bMd8lduMmvBXsF3J7rGUNnYTAKY9TOwNeLMfOzTkgipIQkw/6Z7Pzt
8FU0dmkOMjgsZmzmdk093zZVs+BbAkXJP83p6UPzyYz1Q/fTvjF5EWKSzmyd3wBS3kRr5zG/gV6d
EiilNJQrbou7YK/c++u5EqxqCC84PSYq4mpUZ3TDuNCnQxjQK9OYEDxpD+W3RgudQ/+oKh0zozBb
jG1Ij7QcpRz+X38wo3Jr9mVbmFDwxF6K2FqnNhL03PEQJWr5C81Yo9ZTF5XX0JPvFTZ06K+kpIDk
d4PsuqyASmmGsFNfjd4p2uwlKBMHmfVeUvuuXxR13wb+rjKCuL9u4duEJy6PCpOxCqOytW8DxK4j
QuKakeoWGl+j43QuxMSBVT/XXV6AELWTwYAoU4eWWK5WZgiZMqVzrS7CH2pSBCiIFZbXNi8qVG8M
a6eBpvlLCOqqbDXqhZpdmSms3RFqvmXDxGoPyX+gLfyDpAHy9XUIc5mB5IkPXxo9kGJ5NdaR1Ie7
oNRG5IKGcbSqK1p7h3IH3JQrL3QrRskcA7Iex3f0RdIkMN/e+CpiF6Vrh4oVIP/WayiOj53O/JMb
RhWzF8gkHdBAQyTOrOWfUWZvKz4ESkWt4aXfAy+wgg2U1Wh2oMgMHHw3WLYawN1hZJ1qrC1/iP14
oTm+JaH6msjjA/xiuXrbt1mpOYtKbwN6Q5GvGF8GvoEO2XDclU9203vmXWmOCjwhRl7FfbhKDEk3
Dmg66LqPQEekNmhVD1kkm99k+k79Ts8RBPchCOkkbS2VsCyDgXZyHn2rKVQYrBilRQfECRrDLFda
0fXpvjEGpd4FjSM1QjA0KZHDiiXPjH5apR0o90PVG/bjwP9BkNhkcTHcaRmcm1+TAA3ju7b1Y+Vb
k1nRiOpafUCwxCpN397o4TCk43ZM6qpuFqF1cFK4w5uoagiyZSUlqTVlP97VUlTCV4Q2yFCjzGwM
amysfdPwlXJjwmkYvKdJE/MZgk473MndoY1uUd+R1Fu99pTRXKmeVkuPQ8hf2zV2yFFammNK+Lj3
+HKaufJ7uYuXYYIkTXGVdl4qG0tDjSSpWlRV7mv7wIs6c6UFddpfOwAi2ivb09T2a0EFWl9mqS/q
J1nmjwwhOlXiHaJVWkh2u7YPxdj9tivD0NuN7TW11i2rMi4Kfq7SNCRMlsatVQdd+NBWTests6Gq
pYVUKMh2BLIHK39i5T79+ci0RwhARzOj26rFiho888UCKLA8pN/NX5FpxcVzojkOgJrAKp+hjo9b
aKrMVDZ5O6tcT68b20y4/rtQ6TxK9HUZ7uJBVs3bLGrg1Kcmg69Dw512mfWzKWrlIFBwfcaoOJNG
kEzbMJTXT5lR5dbejL0yM+4KNJ308CGRgbtdxUFYDwiio14w9F+yWBU6ZJU9av6tH9laeR0eqjLZ
H6LQdG7kwMyQ9G1bK0IjJnH831nkpCV0QVFkWzsVFTH5dxnyRW67sNRKQaplw3oG16xXqRost3UU
BbdNNmaCydjm7HiIW7U9DLWBbAerOrA8c9WPmYM6rYWEx6oxkNlLtx3aQlULZ2SZZ8OysjhWqJzr
eh8YCFvxF9ZZD8rGWuALQ2GsuBetIlrleoseumtE3MahIDJVxPTlerDVYcicdWBD2943eGUTDlW5
dhAQ43+CnkgQhcgWtaOvVdc1tRbzp+YFyGeDHEa4ubYdeH6hBg6gkRorqc9u9Fh10G/JEVQplnKd
SuoaCv/28HjQpDF+yiF8geohUA7hYY/6bKjsGw6Y9yD7qAF8i2S/yu7CkiG027yorIOFbgSTAkLc
R1f1r17UaiPjqFaGeJYlWUUGrWcVGgoCzCEnZua9Fn2z6dtFvoov0w4GhziJPIKwaG1liGGfMdbK
nb7XXfWXwH6HLtqVC/DFykZew+HKWM9ctfHC620fm54U5sdwhO06gPgmh8srGPfKbGlCRN+TxVHF
0SyF4UJFB57Bvz9KraSh16RDH/+k33WtusWj6AAzk7qQYJaCmW0ukzpPQEy66kf2xIqP7A1Gyfwd
9vTNIXXl22Snrrqviqi8u+AjAnfQ3Xh+kOVC+HFidZLAVRQdK2bHf4oiQAM+24TOx1yLUf+5BV5w
Fuo8FqVoRTBvmJPo28hjUypCsT5/y1jxB43JXwwFXXAMR2MaDXoRTaeUOo26G8vvKiXCjLZG6exG
8Pd6O3PnbcXgJLPaKWzovTtzEs4KSuLjHVmdLE62SvijtQhnodb+JkPIz7SmGAaS4JRfmFvkSumT
zlVUz5FtE7MTH1VHiDDiKP5pLETVqFqEewbtXNUddwJd5sNIo61qAMERtHX58i/c5zxi12QDxWCa
ZI5tnwXRSk75LjSk93qNZhkFtGDtwEIJoo0pv3ymSn6WLiOfbJKcq7qGPcueLDZxMiRbIvvd0SPf
bQmmGI51uOU//5SXrAh+K4Jx2oqUJk+PYRzDp0Kp6L0oBthMfBV11AJuxqxx2sXnls7rfizo2NTk
xPeFZB4sw3o3X0U5XP/G+wyJPMODKMou8nt9S0NqGWfE5os50oi5VU6Ofa/0ITe69a579xmNU1m7
DsunmeWJnTq9QFkefSfVorxJdDKxMQRhRj/IehdAXXmlLGCul1znLd6BFto4hstJ/Nzi+Q0D/IhH
QTZsE1KYaQmnjvsqSvz2Xd5z9Nc2N1m1m0+3z2HPfLZjM5OzPqZ+bTNY9Q6BZfiDrGodrYM7wAlb
u19D4U7LZhafcH6pUR8CFUxqDBMUsyWnTjmkKKWFtfUOreyug3Xyzrptvxu33VpdJ6uWMctlWP/z
zaSgQFlP0XX45aawgdIuJKm3DTZTXNdidheM3jzrlNisiZOIaUa+lnjOqYWdriw3WidzfPW9fK6G
RXuNUBZKU4vDilc22P4FjuWCj1BXgLlPthwKk9NleR2VgNDoAAIX3/Rv6oO5ESPL3r13jaoHPBPj
pqbrVsIe8M+xQUxrHJmethWl2DnUYdi+Z9fttU65QVQ3oDQH/jxf6LsQTZwam3hMmXRSorZinfYm
gYJ5lYPyzIEHimWGzwZaYvMf87xQhFFmX6AoAm1iT9sqtmeMulb1+MwfvhZrJc5DeTNXu7l0BE8M
TaK/RCr9Xmq6d/tV6a/CrXUVrRULGi+qmiTW6dr+7t3OYTMulA9PVzdx1agvrcMw9O8lT+yr/nXt
U7ccHxweVrTD5qKlS4/D8RI/kPVH4SASbk1lZwq3p70Zr/PXYMk0TPMuBvo7GlOGnS9K11/bt85M
83Juc6d1S4eUyBzljuwbeAQimgjRrRghsW4YVG1xm2Bj/pg7HOcXHKVFOt/ccFwGwNVPrwFkA5Kg
Hsu3VPoG9/7CsIOZZ/3C1xMW8En6FOY5eQfSMI5e+vKL99XceBuNsRH9S3hNOE+s4q/nWuwfm3R6
rzEGyEQzfWdIypwpU5IpJfKg1+0LFTBobcF23+scQQhhN/W1ukr3KZTB+U5zvSuEOFH2+wsQ3fn7
K36Co1BUZfyB+/V0T5GQ6M1Ui99EJOz5H0hEAKWwn4Mpbe6DvWx9+fz9PQ8qMKg6okbs6PTZJh/R
1xl/A4311ivmPTR3PnpfnVyuPjdy4UOeWpmc/aBRSJXD+E0OiCvCbXVDyPtEqXSPhK0bw6E7Y29u
VZNtDOoojxOpeYFK3re4TXnvl9KqeSGlz9HigOKgdLvt7Pk/T8xwU5nSsAG68xy4UMbgPr2qwYGc
d/FaOG4L99QuZ1SkfZlZ4gVPsRl4MEg/BXPFlBMxMnuljFpaa2CdURqGu8z/JZgYxdkYvhv3M+bO
dhS1BPpPpAwMO1F7n+zoCGNPV+bKi77pAVtC4w38l6qBvkTvlkX2K5VFNrMdvrM7BrMcRygKRRB1
diSdNMpSiiYv7Vpbi6AN9ZiVcdOuRMQGE/M2mKOEO4ttJgbFDzq6wmXC36HNqhfrToGpId8YK4gh
XCrb4Gvm/EXs2cl9YwGJ0jjohDUENtOzF2uBRfER2fRNf91s8M91d/0X4dOZp0zMTA5flSGBisD8
i4jpg5cUwES5KmAFT5cyXA2zT+5ZQDExN/GUKo2H3MBctJOeRc1AMNtVMNvNPT/n4RKGTJAgeAdh
KEzPp5/K9mnfhTpGVv1SBIR2zx7WC+1B0ILyzj4psHLP5Svn7FU4okg1OXhw1551COM813qljt79
N+NZoL6sVQlVEA6pspmz7nhWo5hYm+QtmpAnz7LwXUPhQMRnUKVACPxBXeuG7QKdel6hYc4xz+/r
D7Ma8B6uFkZjJt+w7Id46JPwHc9sF+19tBRDMQgPtosI6NX8STgf+Tk16AinOjp2WddUReB7P8RR
yCBYbvfdtQr7kTTT4Z41NImxvUrJgpoNDXba+kC9p4LKA02S+bj6ws0FEQXDYR9UFGc45zIYD1Cu
OT/kjb2RvyXcz7Hr7+xFdw36HlTHXFfyomMeG5wcczjsqp7SyA91ozxT2mXgZtwYG2tfM/oy1ye/
sDiqgniGUOfTOAenn4uhl5y5SO1HrhPRlo/DYTfz3Fy4hk8MTBZzKMcmIrX+ERPOCiKImJkloX6g
rbJfs5n62bNNq/94NRNv7y0zQdFM7BzlcJ5tb53uxETp/Ee68IoSaUEyT3AnYIbiqj5ycyfK7RaF
sh9Dsuu8R4M6sTnj4Je+jM17Ah6dYgpjwqcWhsg5eEY18mVg8dIQX4lnKnrnqQa7JdSVBLE+79a0
gVBa8jimTvfDeWrAvqWPyqJw1ZdwpxHMDQIUPRfMiW89eSaZJQNdAOwGmsRpbuNpfm1IeffDfI1c
c2MTdjDZZSOCYy+Sx2D9bjyApdz/xXzXhYcTwzCG874wWTq9BZV+LGkD5q9I1zSIB31DtxVNFoQh
k7WIW8P13L0rlAkuLPW/FqfXIJJVSTEm3Y/+WUNCKln235UrQXHv3Ysp9hDmO5ORGoSimCdws/1A
CFuszFvrS7GaG/Y6H2sgkj1avdBDOPbVehzUPC26H52bXTfoRnn7H6bbrMLHbBmuvOXhCp3epSOu
mGSx7zd/UbS7cFqYkOKJRckLR5vWBvtGVZR4TF+hNU7WJsIiaOJYj617YJDJRb5try4Z0Pryj68e
RvpB6To8SXz8KbWV4SRp2Tj2i6jPU0bD1+KNt5XXKBhuZ8Pq86uHjocDxBEwiaOdEVsFRgueI7Df
7JtxrcNmal9HtyJ4EXx7M+s6301FAyNHt55U3QC1evo9NVAI0FeoL5oChNyBv/1jPvJ9QFDgt/0n
pYa/Y+7wnl7k4IEMyrognoGVQX9DlHZq1aiC0Rur+lngZAnS+IboAxFTZ6twPccvdbrCD1s6qTvc
w2SzDPZOPdYzkLVUkbZuKXxKVxFCmodkLhG6sCBoEzVGpbiJUH6bbGNfempTJvKz82QymaVc9Vt9
MaLMQDR9NUvFNGdM3PZH70XEIFipYyz8Vu5MyJSJV56LXbKK7xIEZ2Yc5PS6+7N9xyubfKrajpRY
T+XnaJc/akD9Ov3euTH22aq7kr4gxmzMYNUnEcu5wQlSVK+HLhpi+Vm7M/dwZ+zhenoSGxns/yLC
nFvdJGRhgMgxYlZnPYlRyOJGcmsUoQSMMNj/RRY09+UmAUwDNqotM/k5/mbuNdZmL9U7QVPMcNQ/
5SE538hJABPmqiR5bKQwhoz6HmGL64E3qqa28hdbObO2qR5KFVHjkNjK8JtQQ4nuBH9viugTHGH7
2SMw892mhzrvD7XaY8x/Q+78P8aMDRB7slfktd2ZQ3CacP1nKwUhAGE7j8709u+B8fAAKM+pzYiz
2M1MctlON0p561CxenWW2wDi1BmzF1f5P7PTuY16KOo2suVnfSM9e98Kio76z4TSUQ3/30La1XPT
FKeBxv8tk+433FZE8NrEPXNE4ZUee2q6UfWnCJDhtYImYFVVC7SM5yqrk+Gl/5gjbuTBRnvzDDUN
0tbI/I68ZBGnlONEHhv7LJJ6asm+1m5KDTCb51g9fV7/2BU5EXEM/SNKcqf3Zz0WIRA1nRKBqOZE
a61Zt263VFbBPrbXM9/wNPQ+Nza5rBlYAA4i68/NsOpWI0k6+uX+BsdB1n5Z3vwVQ80lvzle4OTO
zu0o6sNef/aThQ2nS4WoH404+w61u70YQvlXjnpscHJn22YehJKuPw8bO35ql/JKTH7K93X7tV+J
N30uDL2wqSatKQu1BNyGeeHTL2jnlZGZdfhStk27EzRtstl025kvd+HQC1oDsiaNJhh5xqmROK7y
AL2JF+tJv/HfRKAinIUeu2O55rNofUe0beYe3AvhCi1NdMrILVAImeY1etC2WZ0az6O17ZmH9qW3
tnidWdmFc35iQ1zlRwEEqJlYrxvjGQIjJoIpZ2q7od3Z1+mODserSHH7boEEjN2stcO/CChOjE9O
n9IFZRGaxvMBSdb/kCp7O0H8hV587Q5beZap5sLLBI2LqVKfozJxVlHt9SSs+j54GTy0JhWKqvWW
9pugPPgbCoLzD2jJgjdQ1KYZGJzmJ96g2I0cFy8meqXaUrfeQn/uXThfECYg/PpgUqHaMjnfUcwU
z1iXlIjjW/jrBckoKqJQFY+vf3G4z6/LU2uTw50OaB4FjbAmLjB0q66Ibd0OQaC54u25X1qKYN3k
BRIMPNPabRj4oe7UbF19nSvXVvx4SIeFrjE6gF7552fgwleits68k63TSyTLOj0CdYN1L6letXIX
BsMiLV/iYaboMmdicvN3bTBEQdK92PnG6+8P/coK5pgPLzgCaakCb4JQpMC1T1cxDn578OOOT+Nv
0xSZXVGIkNKVIGmAtHuc2bRJnVQ8ZmBDBYmPLv55xlWZtPZgg6F6SZy7OL71U4jYADjd1YdyUTCw
UtpuYqurz7/U+V3/wYtpmGIuhurS5Et50ZC0aV6+yLG+dbxko7Zzu3haSvpYFUmbxmEVw1tnvlC0
PDNSFL8VK1SwXfXBWeju4U6AX0UzMtyUq3FVu39xsi58vhPDEw85sJd66TUvqIaWC9E2cCgGR7ce
Mr3z1i7sIzUThnHonqMNMZ3i6ss8rA5S/OYzJp5/iYa5i/2Cu0P7Lf48rI40jSd5dhBbAYpT/Ys0
XEGB5PbFY3nI5hzwPLJBqp2bnLRMqCR9tCiOXq68zc0yyYTDa+uqpAcfb8ANig/E/Gm58Vaps/zc
/SZdjz/ecWxy8pFU2artvuio/PzhAZLFgFGz7uPtANFgt62zmZDx0kYeGxT//miNhpLkBWKPLwZn
OHrPUa5W5iBhl3zh2MTkSi8B9jZd1b1o0aPv0fNz7Lldm7MwidCGqgsOSIx+3EwtiIloLQBLyP5G
tyK75hjPXU5z2zZJXhSnSjMFi0O08yKUBNKd78zJjF60wVwp8BaqSeirnH6auLbwcJNVxd/j/NEE
IBHNVZIuXUbQKjCBK+STmCU7NeG3zH/I/vCC3nj6Vn5h0OR77rZXgsZr0CCv+APD9x5VefEPwVh/
XP3Y9sQtMqurD1BsvVRIXSybbwazdIIvUb7znmjpoKY0S+gl/uL/qvjnFiduYmghc1np8GLrw1Iq
9ocDHGIe6m7pnHdMGhT/sYS4Go8lkAHmdE/3NdbNyPNzjWjegUTc2n7gFHYQitOGjkhRZjfzkq8Y
/zM4BQnaGoxedTYAU7I3AieUu0O/DwKY0TzwXu2vzPWcZTHXLLi4TijS0I4CPHuOv5JsNayQPwZt
8qEa42qIi7njRvQz29eDG32dK+ZOxi//7OyxxcmhyGQj60dJBUmgPAudGmmVM+MN11e41x67NeMj
bvLarkq6xPHS4YVtfgcPc5DyCT/t+a+YfN8utXoGJNUXv1vq+wOK9kazZjosZVzHJTi+yXeQUNxo
i+h6JGcD55d17ucvxaUPfrQP5qRbfcj00WzY+VB5kNBw975H2szL8JHXTo/LsYnJG1sCxMkBvr7I
irQ5mPVTCFh4jL7HxXVelMthPCz9vF/o6oa5skXOmKLz2+9ujRQiNETW1eS1zstFMhSrrHS9Cq4B
e3+oN+PhSnfuE0Vfhv617PfbsF9X0Teksaz4RlMfgvZFHuO1ZBmrzlJndu3i+3q8JhEkHT13IcSN
aWyqLzVEYx/MHYe9f1MSwurboF8YYIn+fy2KIOPIYhyNFPnYRdHLEfK4/Q8BkbKhkMnX4VqZu9HF
nzv/aFBBM5nJ0zFFzzd24Tsej61A2oTbtN8Jcdze7eyd4moEEEo2k3hMMDD/dxb+Z3Fyj0t1a+RR
rXLXldTVqhHGMQE0SBYwM4dfkm1Jmj2Xu4nzdbZKhgSoXIhsZJr2DmlTGUoj2NuG10F71NW1U/mr
wyFcyeRxiubaw6/Pz9ulEIMpkv9anDiOpPjVgY7dSxerEOy+hcHMNs79/ambOFGnqKxIgR71YDL3
Ws054sUb42gF4hccOWIbqIXJ3M1L/f4Hz1C44U24ElwVZFUfzeSl+vj5ps19JvGTjkzGSdseRnwf
ToqtglpIibj2fJP28m18tLKJBypmC1ZjUMEhxrf6m/q72fgr/Z4m+bpZ+w8lWDNpgxbFhqaV8U9F
Q/74/wcbOvgNZiankN0sDenFqezrcwRcaGttIwjTtFudPrlAIxTXI7isuQMwwXmfW518zSLMIlMy
xMsr5JwIeLW74Ie5UFwDpnnq2sxOHsj0nKU6l8Ce3zAsE64xWJgNcFnT2KZAvtCLe+utXo/rkQkB
f2Xu/I1AfcKEvptDS52fC1swLYDA5rkRwumnLqQP1cHRxviHYjG19f/Y+67mSJFt3b9yYt6ZQ2IS
OHFmP+DKSqWSbfULIdd4EhLPr79fqnvuVlG6Yno/3xgXPTKrEtKsXOsz5oMe3nw9RT85ERAAPjPv
hhiQGZotPKw7+NrU1bNgdsTrzEXm9Dg40fW7VoUrL6yIT4fzIdrsteWdCs/dhn2vDDCx+VqnC8M5
T+gtSCkjFYMfM5hsdLYURrTYxyGVH5nRe0lVOk3W7vtJ9dBluqJmcl1HcN1beIJLMWdpNWFNW2h8
egTqy0fZepu8/qSMICVaVXth2Jcfut8XwhFrAIN999UGRgJkwtmrK1q9VFkkP+oAgRxGL3sU8Hx6
m++hBnaRXUoo5a3pwgv8JOU9DTp7g6SpK6ubsidcHLLbyR1uRGO1A1Eyhha6D0jOovDk+cZtERna
dyYQDDoW3uz5QstATfV+epyi67GO7UB949Ht1+/w0xDCIlw1ofp4Vq5JuoFOrcyfNO4H7MmMryd1
Ydv4LAJOa/hUwO0aHhyzdWzxgo9dRx67ZltUkMM3/NRcGMT5aWMBXkJRXwUqF0iW2dxnRiNFBo5Q
lj6Q+CqKAydQoKMsXWoV/pNvFUDGv35s4jeepiGnEWdvpkiaSGiPPPawLam6Y0BXSXgByRT36zBi
Sn0VZnbnYV0qhSCbPyr5DQmwb7TKz3H898vwP+Ebu/r5u+p//S/+/MLKkUPSopn98V8X8QtnNfvR
/K/4sf/7bac/9K9D+VbcNPztrbl4KuffefKD+P2/4rtPzdPJH7yigerDsX3j4/UbLGWa9yD4pOI7
/+kX/+vt/bfcjuXbX3+8sLaAKNT1Wxiz4o9fX9q8/vUHCscfnrX4/b++ePmU4+f28XP8dPb9b091
89cfiv6noL/gBq9Anx+EWvym/k18xfoTCqggAmKXxWIBQxVfKRhvor/+UNU/IWQKIosArqlEpN81
a8VXiPUnfFXBdsY1/edX//h72Ccv6N8v7L+KNr9icdHUf/0hXvm/pwTKkqDKAHqO+PgUAk11eiya
bZPIfVBoNnR3PBOkLqAGbDm8GTNwS8CCiiLj8cOD+fUJPkacQWWEPTR0BjUC/gi2CXSbZiuY5tZg
MYAU3wWoxxj9SQGsx9Vin+T/AQ/pLN5sOTcWU/U6BOaOu8FFOAkg3Irv0D7hQB6+Agq3Yw8LQzxd
aO9DBDYAbEtQEQmqvrMhyqXEmwFjt5UVXY2egKeFpic/1v7gpLcmZACicAGBNEtez2POhmnSRklM
cOcgZSk7AlcPhRdBZnVa1YaCc3aZ7ARHAmyvNf3ePU6Nmy8VaMWwPk4mIFqRXamg4uO/qATOhp1A
xrymWkztrOicttr3yutQv379bD+PAcUPuHfg2b6nYR+uAq0WcqbwkEKR6ZJnRw1gsiXVv9lNVDxK
9E6w/6NaD00BWPmdLopkamjFG6bD5VQPAYCQvR6ustM10W1oCBlbURLqFymXp8fOe1TI1eFYxj4A
HOW81dGGPJiYXqDYvOGbFAw9dWVtFSjxff0AIXd7/ppMGWuQaMhSIZo8K/nAxjxLzKaJ7akclZB4
GbyfIvkG+bGkjtD+SIPOor5i5Q1ToTmiWRUp+pVE0qxQvwkTURM64HGsgCxCm7bEuaFB7ejZGuKs
2lhFEvToM5hmSByadzIp7ayXe6m3oyTPUdwKpbpE1ppJ+BQvw9TVEsx606EjF4mawojNkSZUeRSb
j22Rw5YZWafEkik9wFueKN2qyCjDj/RoqRj43iKYnIRyHntqwsih7HOS9jYpQ154SCLM7ymUrBRo
BdF8rWcQa3qCLWnDtZ3RWhU0cLQOKjdOWeotWVl5l/WVXfc0tYQKTjeVucvbNCnR99eYYaR+Zzbh
0PoaV1vS29Y0aa3iZHKjavc4rMzmaI7QGLrU0EmYdJtEQVGZdpcYNHjQofA/AXdsVilXHGZoTFc8
qnRGb4CoGBbSdylRqnFyVGiVhLqXQm6tmrxhyNtE3QWNHhFynPpSi6UtRHlbWvgVRNf62G0Cq51u
Qlo1GRqAWZSzN6VL9e5Fr/t0vCQVLLktN6zbYpx8pY0s+Z6n8FNQfVDsdf5WpKrR9navM61+oayn
8Ow20tjUPIXLKbxcosRIa8lWjLHNZRsqYkWlbnuotUkPhWyM1jfIZVVtao9DX09XOVdG8xvEzHK0
aYaaDIZmx1qZhb09dk0bHnhdtPV13QAy+RwYQ2XtpUBpjD1MGVv1NYzCWq9tFcJqk5fVkTRMXp1q
IyyJOtLFqmRDk60l1KFRp1G6D1LVan5U0GTK7jJIQYbAsHYjVH19Sy5zKHhZvDRZ4PN80KPrmEiN
NjpcToautVmu6JbbZJZVQATO0CGTqqdlFD5KsdRCkCzJaVu8ZGavqW8RzNTpY88o1AjdskshAmQP
TdZVkaNqhV4lj5ISx0btGCMpFN1WYahWZI6CORLtjShvhISOOarRFqPJhn35U+yu/yl9h1tyjw4Q
FuyQAeSiq+1IqE1jK1JSN4t1q5aOEaSUivCRhAEfE2ZrZmA0fevlI5Mzyy6j1BqTK0ZTqtPATqOe
1zWu8pFRyF3rFCVWA0rI+ajWhryQln9yqqvgMwhoAliHYFbOEgkgbqOw7SPN5tDZADrpFiJWz8hJ
DkEXRXYatH5gRLZSBDewQ1oRppsQAqwXMELzbOY9Z0eXC5sayKtQAjjduFFCMZsJLXe7hTKhVl0a
Id12UOCi5ro3kFpL6cJmen4aUaAOceeHJAxsFeej5jI0xFSegZ8C8IL6rRsLZE2LXaDzkwG0DYoj
CVKmsKmen0d6mqhmwntE2eq+9SCo+JH/3N6XfohGv34hJCOalRz71tUSFev8rEBoUOfAW4AREfrk
p09UStN0JBFeK5N6r+qgc1AsDk85O4/Q2sdJC6EPKBDi79MYwYSWolxoKjKXYJVDdrqEDYML8Rk/
PEB7m6sLt61P5qooaOMijBRNqMPO7vuTrg5VAZwe7F2CYywqisnOgquGMHE0Og8eAgtH7icjFNMR
qr54lOdHe40nGMQZRqitmk3md7tB3Rho7gyr4k7aa+VqId4nEwb4ILhjQkMH0qmKWCcfkqQOWm9d
xhXVHiwb4mvNN9FcSm6m3IbUOSQONqOPu1+/Dx3R2+qP2sJu8MmsOYkvPt+H+FYPb0drQHyVgCWf
XQ/BQnlqVrYUyRJIW6jbYFng8nJm2t6UBi/etfpybus3wn4s9wpf2Fa3j8MRlwm8zGE1rn8Pw/kr
LvC3AItAounM1nDsSCGZFaakEh4H45EC5rXw7mbPThX+FdjkIZQqA8cJcM/ps+uTUBrrXG6F5Quy
pKt8LXU+fyDXDDxn/Wm4yHqPPS8EFb/0Q+aOoCYuogiJSiyUy+ZZdTpxpRokDSZ4UPiBDr4r9pgB
xSjQ0cCRXZof8wz7PR5EWoQpkFAWmt8UJK5SBuUBxS5e+J641oOweBH9JfoS2OQeEnfLpk6nRRbQ
B5HWA0gJ+CFeHz17sHGhD2hDIqaQNNFvQFJyuisCYYPMLjNApvilICD/Jsr4PKx43x/WQieXQ5tW
CCuMVSlugnIPjoGwsgHy51K/0t2v3+UZ2W0+TnFmfQhImkGOwxY9BACpBf43g2DMD8G863bUbd+E
VtTgwNMRwIzBS2zmp7eCD9Yt1XNnZ+PZ855dSHPOkZuPCoQ+IVWhZ6tYTe24WH892hm47+/Hi9oF
tlVLwV+no1Urs4b6NEarHvimXZlXrZ9dC7+EdGlhfrJGUAeHLZKFZamgi3AaqS2TbLAKAkFeV5hL
5V56lLwKZs3Up8+/rzCJ14jLJ4TLUScBfnC+D4RpHrFMFB4Teq8FFyw/fv3kzvcZ/H4UvcFqg2o3
kEGnw0GvqzEK3ELtvErsxrqqF4nP4tyebSrWe60ZYFUZsvazc10vewnpfEeQtgSQuRIaUOWObLM1
FMo2Xw9mxsp4nwYnscQJ/GHSD1XA4r7sCSouuOE4iqdVNpyVLsN3Vnx5aa5j07YW3bRnVfy/4+Is
wq4trJNnT7FvdFrmdQuBU4f4zS00Wq/GRw22yZoPxUWnfraWEIufhzTf5fMhEYi4p0OVUsgAV2VN
YHKmcTtFJQQZDGikHtk2aJb/EIinReOMTxazyKpRIiToHpzplo3GwCgEnYktWOzhrnCnhwwMjQty
rPdghDiwKEPaxIylRffJLP0Yd45H0vBac2VEXLRJhm/ZFXFlvNgHvgNcJQIIih8l97fzNbF1nUSd
zVxJ6zOlkhBVXtXFTjDpo0O5JvUe3lWQsVwsyYjZOV8p2L+wCC0d6eh8rVcFMwYpzcUsAuwK+h/Q
DHWLdQ70T7StlrbM83WJgjOUaEDcR25/ti7lHIrZSRxi5XMfctlovJowjPU66N4sn39nLxAwfJQC
BcMeRUFcIk5na0kVnvKmlu1a/h5lN6O2NJqzYx25PIEyxTvuEBiO2QpMx6g2cwZyWeMXm8ntDg30
u4gTvKrfQc3AEfhUHWK3rh058hc2nfnYQAFDBR17m4bCvqC/nI4NUt+aPuTAJAtOFgDz2uACSHYZ
rKs9cOVUcmvonCzylt4f2cfZgrDoTeHWic4lUrZ5AX2aOoPJUybCBqvgqNyb98ZDup7AoB8dcSsU
HoHGatwLoZ8XmLxB5PuavdI1v8v+AR11vjWINBz4RORywnj0LHeUA2iqMyMvbTa4UOx2tQDqoWO/
UN+e9ddxwRZhBEsZHZRP4AJamKS9UiKMkAqGhQfgQbljwiWTeN1dtiho9H46nT7lk3jzncfs1YJL
1a94Yk1CMKHz2st0y9eWBXBi4wmjlCpwslXgVLE/Lupunj9Z7LUWXjFaRLhPabNtCHICbT92ALHW
CmwDGsOnWbo2Ib2/MI/FEjkdKvIa3L8NIO3f+QSn87ibND6GZok4Qj4YRPD0olopki3uxJpfbDGP
VqZnoKq6dGyfryDU1w0cYyZEo+AfMltB3CCS1BiRiCycsEKvgYJ9sxYcBnGDA68KPd4lstonQSHK
jt4x2PwY9JwXqzBpLDszKGxOrgb2IEmL9/3PIrwDdg0UTaDkO3txVdFh8sRWIZzmftAtgbtVXNmw
MpPu6DfmQpL8sHxozfNT7ILCYg6yAci1UC+a7bQVaaw+ls0CVnPtD2F+CtUcDtv4AkqmqW9cTY8L
02a+884Czom+qPGOMHXAKNErrJ+G2/R78Kq8lrkd70UtJffh65G9AScSPyxEXhjqXI+2iCZzxD8F
6ikdro/CUK9ObGHKLcTUzGv19XcDYosXsHYC2Rb0R+Y5VzkZRcy0CVPG53tzm4KWjqK9jjNz3OeH
ft017n8QERsQ1MDAF8G/Z1meOHKUQaoLmIQKAlttR6jcvgM+9a3QEV8CFM2LYioso9EE1kGQgtsO
hjo7R+HjnqAmLuVYijR/N8/toG5BDBD9BeFwqbB4tufMws1KVEWiWGFeItxU1DCrTySPKxNSue6F
gVIpoY+58EDnOdZ8fLPlkTZRoTMR0Di8ez+upnWz1nF6DHf/QFfgbOuGFJ4oQhuQ10Cffr4YW7nq
VTLCBWHMXD12eei1oHFC3BB8KbqpsBWMvqgALAH4z3YexEVLXcV5AaABSoCzrRzGD32iVliDJRyX
2bGbfvscFhHQ5EVtUfS354dSWaIJEPIeNjoePf7cZuRN5bbCLRf0vcVsVUyEk8NpFk+81w83Ozlt
5BicnBzbmul0wArKHujovmFAPaj3Rze6VlHFRIa3WxRQONtmZqFnp5NRDtpoWp1YEqAluIVrouOH
4olpo/O5k66WjsOloYqX+2GopJTQR+0RL+Vgk6Bc3Km5Uypo3uc/rBGYIPK7AlhCmhUelEheIdWK
M3E2QlOVizZNEVG3RT0MCkEtFJGECIb2QsAVnxJXXUKWf7I0APkUel6ir3BWfbcA8tZlCVgPrQSc
3xYK5oLWEjX2S9w66H6+7zeLdbjz9a8DNwaRCEh9g6o7P5MVNWJsBOAOQy33zQaX1y3daDZxtP3y
MjzPVkW9A8VpNPNRiEdn6PRV0iE0NE0S1w+fGq7hT2sJR7F5QC4eOnS9bG9xdhjPAs72Uy3W664v
oO2VwwmFQsUUaWM4HUw4HC1spOc79+nQZhspYZJaqSUiCWM5yVjj9SHV4F6TrvmPAtjFEvkw9/+B
Ju35KxTXSHHbE4z4swpuqiN1S1U81HH70+4BABdRzBQ6sWBdWLcLI51flEWwj/Fm63Gk6BQFOuKJ
K0d9SdZ8B6NgX9rK6yV48llFfB5rtnEH/ZRZXBMT5iW8BpMXDxXSkXYu+Z0nECfwWL+ol8wm/h9R
RS0AUF8TROLTaQqvCWEyUwMIldmQNAbmwcnAeYydtHViSMW5uOLskoslpeazct3P0f477mxTbyU0
/coJcUGVN48wRUV5Gh6MoV2u0726GhF3uisWDUs+XZagmEGqVsgNn4mBgtveGnmLcn+yMTJH9OIi
t1wPWws66tSPtr9d2RED/RBwroIHK7mGw+0qQ/IPIJF4r90u8FPuTmhvxv5S8X9pgHOlu6qOaFkZ
iMddeMvXtr62rmPsPAmFwKqQz4RX68Iq+WQ/wPMEfBDSH1A2mbdv2yk0rCSA8EbnByveQNwLC6V2
LGj7TbgEWFeRHamrf+KheFYKxdM9CT2fRlQp9Y5ZKVTgJl/oAecXsPTrHFCUUASlu2KlXC+M9vz0
MmESiesyulaom88fsGpUpS5wK+Lq4aJ3DBU4YXfbwCgyg4iTtVlWIT7fhk5DzkY55boKqMmU4uQS
ZG4c0ttyDU0snM+Ldd7zlOc01iwhQJkXKK0Owwufyo2EGot0KbCZ/Am9sX8ilis++2l2h3ioKwOW
g2TgrJaVRkyTIthc4XGGa+1OlCKVFyF6LK/bh9/k0KG4gQLVx2jiEP2QYAG5wwmvEE2w2vitvhYS
JKIZV91yNIuX4p3ncyIcoL1Ir1BPnpd1004Z6qnEi9PA7LGJju1nTaKs2qclqthtnBgPYZZY1x0M
qJeyrE8fLEqjJig26HnO03SmJ2yapF4sDTA4SrsFglHoRXEUSt/dxL9eF58uiw/hZnM0kIzO1AKE
y/haHtaq/k1fQriKvGI+VVQ0whTY2n/Sow4zluMe0PycKhB0gSXMe2Fj8/VIzjqKYpIgQUQMuAhY
UJ84nSS5EnCBP4PL515oaohTvwGxU/m7afX/0fJ/UDyz//4blX4GlvfCuGnYR7S8+P6fYHmV/gkg
vDBoA/QBD9/EmvoJlle0P2E9BEc1NC1AjwNS4d9gefInVKcEdAG7MrTuBKDnF1peIX9aMFwHHQWu
vriSI9Lfn+vq5+T6yV/4HC0/O+qA9EKRG9u+UN+B2P0c7tUFsh7i1h86A22g0a6ucwbPyQq4Nr10
LKtefXgsv8J/hMrPLvM/wyEpEycNkF9zdmqZR2bEJyN02lLZRUqyyoMlbQgyW1W/YgBchoMb2q3z
/gxVJuifWGbolG6ymeCGrbj0R7CF3Ip9GOw3wTBu6Qu3txjg0kqbHWwiNpgAKMDi1SEfm1d/o7Bs
x6GAN4hRPkb1IQuAVKflLgjvKth6arDTqI+ZVDnWuOh9JjDOHzYTdIvQ+sIkgt8EaAggX5wu8jSN
imKUEFqCk2xzjAp1y0h6Cd/N9dAFeyXTVyb9ninT8etXOtsnRZcKtXZsYxrID0ARzeLSKqC92Sup
w6vctOH3qXqBhLy+VVp14aI2O33eQwGyp+DhYh2doQbjTjfzsEWouhyf9URV9ySN7mJ5OJZhdsdx
Vb6u82QJJvFJVBBZAMwCcBhAonnTXx46UBLjJHLYFCZoaBIInwctGgtDuulTyIZaW603pJevH+vZ
SgFiHkBdTQWEEG34+eusiClV6RgmjqxNrHCUhLAXklahttDym92yxTPFtIEqG7y0QBV8lzr4kEBM
vK+HtioSpzEDmBpDVEdJbSYXO3ho2787JADAQEMTsCyqnqlk0STSjLJSEkdpW1uOn6Lox38SwJI1
AHfR1Z+XKGDwwtVAkhInUUqA6hkEXXlee18HOZ/vGAUag0iDkAGdaR62shlncqsmABxRyycxg+sY
HUCiUACG/jrU2eaMRhkUnIAfhZcFlJzE1z+8GxKkpgb6NuQNAXbmhT9Jra1Y14Ea2U2hL4zrfMIh
mC6a9UgUcPTgxPkYzJAABNJLljh9qN9gsV8HHf3tuYYQWEdC/EXoms7GI/WkLeUB70cNe+miUaU6
XfdRWz9NajxkfsKU+vrrJ/jJy0JDDBNCuFuqZ22rXCJqWIcmXhZ8oXWa2yqLkbvyhZl9vkUIHDP6
jehtCjjsrOjQyCXIr3GTOiW830Fub1oCfQ8qaU/EYmFoa8mgbypUByNTY7H79Rg/mSXAasNTF1MS
V455z54aoZaht44xjjdSeivRb0DoH0f17usw5xsFpNnQL4JytzBJmNf/iTV1VjqoqaMYJUlgPK2W
bCuxunupDcKBzUvgaL0wYc6OchMVTvgYiFwIpsjzrTcva0Ue2zp1JJq7o8yeUIBtNnk/PhGnZsc8
zOo1NZJ64Yl+MmtQWAVZXIUe+zkCz8jkOuigt+1kXebBXxxdz0peKWbwW8oWAFpgeOjBofmP0QGv
OlsPAxy+J1muUiedCiO0mxw8o5yZwcIimK9sVGtwWgrTMgFrAC/3dGUnRFJIm2OClGMoHcJ2ZJ6l
lPVC7jOfH/Mo4lN82KymlAVqXkQYDGTT3EgNDSdjE90pnVp5QrV/YW7MX9I8nvj6h3hh09eq8EN3
guhCI7upuleqm6+n/KchcJW30PMS7O9ZalO2ICa1FkKM/HK0uJ3DedgaluBv80kuimlgC2BdvXt3
zatNSpqCjlXIqaPrYb9HFtd7eRkGP/o8Jfsp7xUv6TJt001gg9lRG8YLCdwnLw6XaYHKxELD3X42
yiEDt6c2Rxjg1NGKtKHkk2yAYnEhlCwtttBtm2+V76NFFoDtEpgteT7nTb0H7aTo0Oma+FDbAeTK
nUEpooeibXuvDIZhD9ue7KJMxnGBS/PJ69RAW8YmjdsOmMazGQMrTdw2tB4POsyN50hRu1U5FPl6
ytv26euZ88mSOwklnvmHyZmMPFdois1yYso3Olp+NdYLk/PTB/lhNLPNQ6Z5H/UTkuE+tMx9XFaj
zbr2WNNNk8qtDRmsVymPJec/GNj7/RP5D3LhWdQpTmH3onKcAgGgqUNkGlvGR2thkpwtCZwxwPOB
ZI77lIald/r4rJE2HZiD3NEVIDGCmD3QOhntQDPXYQHgYpLedm20mozFauH8FoUMGNVt+EwCuAgz
IHO2iyVVnfEw0mFXO0h3fWfsxoHdQRvoLcuqWzzkuxrnd9NE0GrMHr5+tGfTcxZ6Nj0hVMflFr4E
DrMeLKO2peIlRhPj6yDzAjPo+qcDnD3auG9TTdIi3EShPTYFsS8RdCUU88miQWUz7N/wRl5ppeZa
FKYPdbCJUoLTXQcHLQvCBVqNmC4fL63vnwaOyBCywf0V8hSnL5r2Q6c0DV602pn7Kuq2dTdueVzs
1TjdQr75+evRf/aIxdIXjqUgu8xJGlUdGq064u2atNzHVbiqrMGFVMHSQ/5sFqHRhlEJPQNoiJ8O
C7RjLehivMpQSd56fbhKUmtbsnhlTgqARH2juuVoQi7LggoZ7pRfj/Kzhwr+mUBNQWIWCkGn0dPY
6Nu+IZUzRYXW3oZWrTFfzZNquoKEqhpcg7fFKn/IulK//jr02b6HCyQgW9gYBONbm3ff6USSkjVd
5eiDuYeg3A9Nyxfe4dm+J0Jg8wZmEkiiMwghS+KcKYPMnaSzbhPZcuQx9eqwcWtO7kMpPjbB+Lub
3iykcvpAc12b4F4Tc6fJTQj9pdV2ypdyjbNTeBZDPY0xmFqEezrgbU3efO+ZfmxptKtoOtiKtFQi
w256tsPiVqmCnCgUK1Comq8EDMeMsjySbE4r2aGVMhG3iuUxcBJN7ozDIKOMZksyHrDfDNMEiEpJ
pdgmSh8jN5BJD53fulHBap5IZVluF9IgtAdK0+lar6TnttK2VdZWnmI04StTgeqPsfrWPCfGBQ1U
w+1gPOFqRVJ5mtVTu9FoulOh2W6HXH3NpZHajI5PhVbetcNwkzLZRdhH2pmrUnsNptscXPNx7L1R
Ky6yES1eDff9MnakUjmm/V6SVtx6pnXlDWFrq3W4AyDdgwAVsMOpbJd8peulW+m9o7DWM7gFaMg6
VO8qZXT0PF11euVFBtvVXb0GbvYu125IV6z7gG+1CJxqAqEYw1OyjZ4UDpGLbaGSY8Q5aPWSbzam
DXzKRSoZgEznLqWR18bMZ4OqOVBFYU4U9TutopfMjNaBcd8W037U2b4fawda3pd0NFQn00FNN9oB
kDk9cFmn1g4KUbdBk68zFf+zRBklie2aGg74MKtw4vZYd5dFvVaseKsHtw19iaXI74vkTpIMumGw
ErcG/UVHvUIb4mMuXDn1ElR2Za1POGxCzsHrTldqbKwSmtykcfNAqL5RgtLRaO0o3aOqJHYRx57R
gK6N7dPoAd4bKjvo1RWVu5UFcJiRpA6Vg20Ai99B6/dq+SORJC+2StyiiszXrPzYq403Ug0gdkBz
eGFX010QNdtKaZ3KTNyAjBdQNXBikAazTdbYdWeXZm43sadhDVp3EQA+8XUPadHe0asLC3Yw6lrF
GBJYaxOwlkscb7bapnDgvMwDR6meokS3zd6Lxn3U2/G4YrA2B+paWpPEbyXNq7XK5XlocyjF54Xd
Ud1rwocifh2yKylZTfgEmkuAGm5Jcjvm8lbLS0cuZNs00lWkd/hAD1LaPRg55BcA+20ZSFR55JjW
ngdQobCzZGVBhzWyDW0zhNsJbA9egg4V2PJgF8V+0m5DKdtB/Nfu6m9MPg46cfFcifajD2AoapWO
VG81zAXTzeR91gYbNYnu8iZwBv1ikq40a92U10EUuQqgbB1YavzKaK+z6dBWuj0kkp/FoFqH0ejG
Xen0wwVA8FuFShtVuUuGH1BOtZMMwF7yPJWbLJjckayUCApwE7y2+/tSv0k7kMJ9nUKKovCG+C7p
DF9LLzTlbtLuWL+BxcOtHh2GaYPkAkgh1fCm8ZaXcEeQU5cqF3m46XG1sPhD3SK562DAErRbEnYH
YkCfoKH1xgwTO0mKTZf7QkEgHzdZ/Bj0hi1Pm6LbyMnWbK5iAHZ4cDfIu8h8NpSbXn2SiM3w/WYq
ri8aOMlr1A1q64G1PuIrpjOYB5KAJc33tO3cCFV4HX+S91Gp+y3ejIlTBTA8fQPR7wQNxsRPtFtS
2fptBk2M6KnTXd26yJvLQdni4qLC86EaUJTL3UHfa8C2St2b3LeVXQVAYxAreCFWe6j08a0oqQNP
v/uENHYjM+pnWj/5Wdsh9ek83ay7qxGptcfrslgF8jDajdqMoPxPnooFPfD2ckzg06vCaU+p3WxK
XzszcwDXWuuxVkLtaBxWVU5XvRGt21S/byfN0cJgq0cmnsgQHC2JHfKsOigwhkeFlx4nhftVZF12
gQQX+hj9QfGBaURXVWNs+2LcqpO2TyN6R1sgHuRgXY8KcZSB4BYcruQGM5JJPu+gjlYOYA3oW2wo
m1iq7IR8h7ODF0JltS6sdVJfskA+ZO0mM6etmvgK3jybtnF70ExHGmzUrVDYCS0V8/uWk2vD9E3I
80VrIwaqLkDFkHty52fWXRmv5H4XRH6e+fpTqvv8OAyxNzCviNYFuCNQAuvQ7G9eSI3JlO7K4qJI
PZwTsX40+T1vHalZp08s8cf8rpYcgsoLKkwjTR1D2SI/syOcVVnuJDCPG5yqdorwcup3mGomW0sQ
Tzd2nPltBOp5AYa/nADbCyOhcRWqjW+ajzTOnsOwudH77jLs3hp8jBIZdBeOtlJXRzL2F0qQr3pr
PKgNKx0+hTac8Sy3HnRfYsaIKmH8DRw8v8vkGyh7uCONUYEqbb3C3JTtqLtr073SjJ6WdGsThA65
umD9NzW9T9PHAAQ27YIOryX0benKghRVvOrEZnfVTV6MzVHqDl1/N4yY5JVTaKkX4EzszYdaX0OL
2Mpec1QgrMiR0tfWOmrdSwAompzc8mg7WF4c7tL4e0x2WTHaUdzbUvwYmt9UxYEmTZuEdtpzTM8f
0eSM5g+aribNE+4UVdf4VWAX4QPaDZDyuJaBz1QvpfqmVAJbD5xQ91kJKWQn63+gGRlQ5jJeXVnh
QznIfjSBcDXd9+RSgz1iqIQ73G7dNDH3BSOepeGQlOrutigGsBR1TPnOSJ8z0vp1Dx2UWLeVREVd
RYHsDRobVaUCVxN7pLsP49ht4/qRhtc6Pn3YGheGmW0GCdl69aglmUf6wG3So5KADyPDMn7asr5a
Zeygsk2abEMLHE06OnUDXQJ2o+eAtqGUgZ7vXVBK94oeXvYDuaZkJ1tPMjmo2sXYGG4z6GtiRTYr
7yoTLcmidCU6HqweYipVcgeJtysgyneJlW/G8dg02MdvSDzirdxZRnPJmbEqR3IDjQYAL8j3Pi/d
uJm8kbfYWulmmAzstNQxq6dcWcOOwh6Cy2K8GTTLMdRDRWpHiyFUxraWgYMAdf8MCkXtaLp59trp
gztJEeYVrK2Lizp8zMBwlcB59svAr6TKhdLJushvNAnaaj3cXavv9XRJyrtevaDFU5B3TkwnN1aA
nexNV5awjyTskpN4TUGfHfVnGNV6vQQxhyD2kAo1+begfeZ6t0eDeAVAyWT6iXTTB48WChsjVEja
gbuMTYCfJ/Yoa4d8AowYkjjrySSbMWVHOo7bhAzQx0Z2lfcuq7EJTeqqjy5AMHXljtq1Wh9YNqzT
EAdOWa6TqMd+bjljmq5ijXmJqd+0deBLkw5mSwFqJlwQkRQF3zntK1fKK9csoZSVk00rU7cXuQqe
GEOK8H84urLlRpEg+EVENDe8ckrotGVbtl8Ie2w3zQ19AP31m9rYedjweCwLQXVlVlYmdwph7Tez
cARJmuXLXtYoYOywlW5eTV3sjigQm5mazlRUW3ODc+vBlrBj79p9t/YfnvbHyO/UESzuc+W8BdPN
0GZkyiYzlzohkh2ZT5/nYMlhZvQrq/cW9+F40K2bbEZ4FJ2Tbcw6GeWSy4rsqfw3MG/vlidjXRIx
VMnK+Wc9PNHFv7fVQerp1mLMJ7fHISBSPqdygsqsrmCa9G5XbVzJJn4ojyPtjU8rD7A5wVBXXiul
s8Hgrxu1Myx7f/XLr251HLTQ4UDEan1ZiMf1p+cqoClDO+o24gAOuGjJ2RlfWh8bvbLaNyvC0Eio
ZdShilpTn5Shi42XVn0GsLyJqDKft+VLzXIvnSMpUxunnbE5ZtK7QGKk0St6GgAKbeA3s8YwG1W5
paBmvBe54FR3PQ2DJK77rHGGEB8zlKh0nYMbZk/Q+bK5P7kNhZMOqadoKRGlo/xuKMym3PJO+Ice
DlVkYFaqwxD7Kg0Cx3y3S9wJlu0e2opwtm5Ek1NQCy9xKpawzUmZ13U5UEMGQ7e3ccMSX9CmVte/
NbgYfkUug6/2/cyTrjGuXLRnbJiKdAi94C1g4QLblgrTUR6RAcG+1nE1cYP4xgW3IR5EYRX+GpzU
CF95uJ7AReo6OcijDerjHED93b9Q+ROO2Euv4U7VZIK9Lbzo11O9Yn8c4kwyJkLvOxyPo3MKLWAk
E/Peh6FTPRycNYia0bmXZvUSbEMERjqZ7esqy4O2vFhUr/BywycAOX1vwmjNB54bns22v838y3V/
h3FXtupIV5qSfsd5D5GDn1RmF0mIMJT/uso2GRso5Dsee2JJCMfZEVwDI0hK3GVjTTAXhC/vBvgR
IgoK99MW7mxP4cgBWhytdzrU+UrXuNusFzyy966ds6qGxncJIXcN+0tLHPQuKgrp8D1XKvWGHvUL
Yr8ylzUSG8sAV42mczBcJDGiESev4X327gKf/dNmqlg1ZbyB8Dca6L/lMVg+Ow5eFbYlg3G1/Tnx
w/FUu281qqhSYMQGN/FKHMBAJiXwAQtvA7wBRnHsPG83Epl0E7bl+uPW4Ni7rA0yv+er3RkYCTYX
d6wiA1ScMf+bl/kQcrlnDISuoGk1ALtUdO9gq65jDTYlSsAZUNeedzMU62NszGe+agvJmvkLuQ/f
SGm+GpPXRkDecedM+YCfvrp9hmKedg3ugHLI2lVfSw+fidfpl7nf/iipY+cVK/1Dc7CCawg1P8EZ
6brHvqZofn5G9LEWWjHcEYFXXUzqRn4VFuGIdAm4YDVzNvqnjQJDsPxxzG/01rfPg0N2+ByWBkEP
co6cvopQJxfgVw/WJBePvjsW7NR2Hr0q+mRhrl0zlWtJ/5UtjRjav45WaUtnpJHE1XxaXfTKAMNT
m/sjS/p+T3Ve28lWw3shsE4OIEqP8PFVQsgA0bW7nNYBRpz03Mz7FZLv6QlYzOl2TMDCD8t9D7HT
vXVFPlXHIIwbZBjB3I9FPT+65t5qXxY/VuHeRINqT/GGJs+Ve1WqVJi7utR5669fna4Q9dYZ2A6A
yqAxrNzo3oEaBiNxBVy6cqxxzxEZsfzenzb/Z8WdFYVNUs5PqipTK8Bl+htnHZvwLra9EZcbq+sj
wu3pFoerSryqqOQVi2S1sVceUBlga4+vt8TLwjmW/qFkeK82QG2iaVxur7pEemb1w4J4MjHpO5fl
uzZ+THWxoEqvcn/LlvY8d8i0Gb58FGC+xjX7MYbYZ2cb0NSAEUEbc+BPeEnx9dD0bB9CRD5fSXkW
tYz4hn5cPQt5N9AEY1BzIG13gBDruR5V1FtxD8Tag+ERENdOb4tHCmOVcekMicF+je62gIxpw61o
xG6WXxuImE1GpRHb1stMUD8RWVJuES8/N8/YTTPkNdYD5UBHxR/nowseALLhLSPwcm+reBwgd/V0
zPQriBStw3iEVyIzthjeVafenAthFAw7Mnp64TAI0Ev8mMdXNxnEuvlyAd5px8EIwdCtTmDAlBkO
sCcQEiz2IsfEYZtQmrnLU71dFzwnS3BYPXD0ayok+iF0P8lWoXd3i7WzoM5AP18vUdfZZzIPB0TP
4Fd8RhIoiVZO0BSCFWiASl+XEMFBzfyiyZSU7pa6DMXVMaLJfhlhijaQmG9B5PYi9R2R2BT7toEL
osPJHn6OLTuudI5XM6cWLG9wV9cSpzEH0LGx5WQdnOEyhwW1x5Nl/mvKkz1hCXJEY6TGSDVtFXlK
7rENhryu8t9oiL81NPeD7vYG6VFCZqwU6Y/Vx15Yww6O7FPs6KFyewkIp7MBqRAhMm6gOwZPAwLD
w9IjoD42Z8Ngr8hXszBsQp3l3BVqugvrKbS3aKJ0j0ytrGa/Dj3xmV/RruEtbumq3cRu6G0e6lR7
06Fr4erntmNmP54WN+ZB66dr3ayxO8O1jZWBjKWJ/j8MZ5axypsyGXj1UWAtBG+aQaXPuPSjjmi4
eHQC3NhSYowP8tv9lg/X/NTavI1HHEDtqfU2+8MdoTyOOWM6iAZTlS9moBBYQK0pXspg+lwsEGkG
vpgt6muxKvNbzJ1mca9XBwViouR57JFwHultwM4XV1OLgq2NzxkxonO8NI9zCe+5v26ULTi9V2ak
G/6PRq2tyJ7bVXNgATJRcJAbE1DQ9LAc5z6WSFzMC6BjB93hYWAZ+TOiyXYcdqUF9qLqTzes9SFo
fP8AkekqIkbotIMjSPtqsNXr97xyxlu3esMV7OwwRPDkni+89OROha71jJSrsUAMmR4iBcFCOkwc
3qh0ntJJWtubYzUb2CzLfuWdtF6WwJT/us7vf2VYmvLGFpSTuKTmFuSwLm2+A8rGYq5G+FKubVkm
1JjbL7OXrN3pSqKvmdx5yYiEb6o5YNQkGD7XaOvQrSZqbczUnvApJhjOTSEqxYwYSp/xXHPwjstm
dBB+iP7dU4qcuYv3RPtB7Upsxtxm5aDvcUG1zkOD7Q06uyboPbdc4952xdPgMthzGQafUN2Y91GD
RD1WngXyUbCuP8OQcg7B+E00IluFo8sjxFsi1dcIgIWXIXBdb6jEdpzlHzzbAYoXacPFpRMMzDh8
Voc3phxlp2RbpiEO61kWJCgZOrbWfkLcz3Setm69drY1fAYlpPRJwCbUrza0f7ESEYJEFUsoT4pr
t85GvdS49fuGwzrQwjEKpcMKa0xjQGcEl9u1i2Xdq/M2wJg28oUwn6fGtE/S9EfEUjvBmFgrIP84
b82Th96pkJ5hRKZhNxdiND4e/U3DLWvB6q7iix17SA4E7LP4JxUmuRFrmb4CXlbHaq598PzDEIIv
aMnyxic957DuHGisEFSda3BYoFkdlOZuIfIFDqiI5CPz/OkjQyKulxYVY2mC9Xnk/f+HYDWfjbFx
flYXNgLhMC0nu+/Dh9BncFAy5a62V+wXIDWqgQrB79sOtC3UhYmcJwCJqbcmlteTg+ZxYhjF5Y5V
AehLYToiI2LU/V60rVklJatlFymXqjJtGwVHVzVX/rifoDZKts5HVqbSWFOLR78OsWFTwpDjozPV
wG+uMrq+oKuGkZs1DqgkyIs4DQ0B80eYXTeZN7rY+HJLALLVwzEBwN4dfemrf1quCNBVbe8akbaC
RWXKdqrCq2rvFDQDeycNzLrrfuvjzgw7kBK2kxICO+HIq5WBOgsNXexKgGi3KT03HoHH34Jlwmbi
NlqIzcLJd1Ceicppzj0PQR9P016H/YB2Y2ydJsYsmfBckhIsVoib5EmybvopAVFuc2nYJ0ZrMDAu
WBDcAT3CwZSjgZL7+g6vWdBudd0R8E50tW8NN/2dY6OwxlUIstxkpc42u8EAYqXMLuNgofpvhphi
iq3NN7MZDpiXbqUuT7hn+JgIzO34z2q8jmXcBDQWih1bPj97fq9eTeG9W3KGf/lDZdOTfj6W7Qg3
FEd9brwCE7DCoJgO5ggNdQWH4UA2lyUoK+8kw44HwJEdUIzUGNLFXovhRkjpCPAj0NiT8XtCcOQ/
AOw2g/MxjjeXrN9EgKVdhb2asYAk6kloi5zcWtsfFgeL7lVM5mu/ltHU9dZ2dGHY/IL+DNOBSfc4
+mtzGqsEPlngKF1veQ8Wouwo3Dh/I/js7ahTIBAnoWE1wARajEZNPgqNbtFOQZR71orMH+3cQiSy
EVFloF8wRKg2dzd5Aqu1IZoiBnti3N/AWmPYrzCedGvXR5s4jcUCweH3psP67CPx5omuPc7EWSjz
1bbbdo8SwJ+9dquCuCprG4F37UziwOjoJ+Z0673CVhS65+pBssnVuDTQdOSWb1TPU9AAns71eO2D
jST12G/fEGMgFHDQ5Kom3msQVTXsFEcefBpzyL7MEtHtw+ahi6KmsX0uthpAqk5DDci+NCQs5Foq
G6ETok81p10ibK8HKwiJjyXoNuNgK40eF4oGJzK2JbrtcNRt1iBw9rdnBnbwrBqfXDL3PnqOWuge
3k6ttJ+tbUJGWe2tt85xypurfaxBOesYW40foDHqOM6WcaJvvQ/eaZxkFZs1RZXvQuvdbdiwa9yK
hIewdZ7r5dGgO9Sa/ajshmWZ0gCttnWYDGeddwr5YQqvvbrv1GVtE4WwRjYjBlN3P5FytUU0wWtj
RrNWgclgg9d5Z8tt2ulgj5XE3sGsNjPirnSnglWVBhUrZpudOYTrw7Xb/BK+dY1yyukLV93vU6Gg
VAErrWC5UFtb7Z7DuSrJfutKd76YDh/LfQD12Bg3bBbTya9xBEYehUfdR2PTWgAykJr3SPWeOu1h
/2eyoXcSRq8UeNGArolER9PGDCPFZldCq9jAtrId56pLJR09bwAra2MjHB239j+3arC/FCdFswFn
mfpLmDCFWuY+meQww7uI0vVbITq9inFNmn98as03e7DkteUhf4cuyT/VCITawzb9unqh3M+ViQLc
oJS8lUgOva6i+kW4J5ymSZDbM46rjsHq3yy3NWqE4+wav7TPQefMn9Se6hRIyY4gI+L5VgGZ4BS7
Yx0uiP1+RMEgHvbgw/7MbfAc4Glea7H86Zpj6oS9LopWy/YxSvH8d0L6DHmNx9npTqEUGbzS0CIv
49eAZeLUJnAqXjZAjlEhS3dYgrwB8O8wJ2cbOXsGmrjOmtERelbuwuQ9s3ECRXVZrnlIwJxtfRUU
rsNfF1i7h9xLN+78Dh5UdlYnCp8bc2rpJbJcNG+uFfngySduJhjuZK3+6CeUsdBNjLmDQC5f2XYU
zuvqGhjH1jHM3pOF2ph4DJe+G9Ny1tFsDNE0VyCW1PMq+Ce3X6D5zjt5RKBBZC3jTnZiBz/0JwoU
IVqaeTgNDfiul2y+0mrHTRmZy59kwROZzFRuL2VpvUMUC0LLy00Euvqqy11Mbaw3LeXBMrEP65Cv
sL5skuQ+JqgPK/hxsFMM9n74ugtssMykg5O48byUTUE7tYOGM3IEuiL7UMEDypSHgC8Jp3VORmww
i/nGqhmm7BRXxEgmQ2QO+7cResG6RTZoI0YFSEe55Yuyd8zkiVsvoEwB2aC7BXr2E1d7hWc9pu3o
Pwz3AwElaSPke1A2ySjnZKXmzhvvmD2tY4fxLvtHOfhln+K6sjGCaCkqV3YuGeQllkgoPrmqAUom
CUVSNEQn3lohjLEIO1l4wwSsWxbwvkqb4NSX5wAe4eaGlsO3MRsOgxsK1c4I3Kd5rEHdJR2qZIDv
nk08u4s6+VZztyD/bNiPDYPqFowa71PO7G+YL6UmxjoBXjasMwyFXhW/r970RNTxsRM5VJjoL01a
N2heA+OlXatIi1c4j8F6A4r09lSF7mFm4sMNSIS1rywY7SeKWaNnNXvfH49S9rEdgqkTMqtsNw5H
5CjM2JvXYypDDLQdN52ru+YXG7Z+FB7kfedHhrxTeIiQXp/AduSyIXGJlBDS3zRmhuOD9tpI2kP9
hMmhqJD5SpH/SWXuzvaR6SzsnufqovpEkLdmVHFDXtCpJr28DgDIDsmExgPeYvdBuanPTDyUp3ET
EfVg4C0a8LJfcwtgtZ2agWbUXWOIIOPOu4seAw67RajCv20A0zwBxdLIDEBS43wLwiHZlheX77pS
nxwDFCG71QxPUaPjSS5x5c750qqdZOhKzCUbWzPfHuZFOoDVfm8Fd8bZfXD9hJQ1LP11TMw78+9S
34f+3rZPukd6oJaf2nTjcio/7GVB6KNb/VnMiUSJWRcYnHVjwL1pJT5C/2UBDBLbWbR7pb5U0CS2
blMiT2MposayLhI3EUycT3rFetmQCCc1NoLHjF9VTxLtDDHDdzTLtZIfqnkzYD5kLifZFg1GCPbf
SgWGnGUaiiMdJ4SJ2unkYihuMxQEMwG70iyHeolHqHgw0oYCJtzuGvNJbQ7RWN4eTvglxM/oRuOh
K8HnKTQpcBquX5vFiKh9HDAixwwMJXXw35VNrqb0ssmeEn8b3oae560j9z48NUFyM/ceVHef3nh3
fkBBjgeew8poxIRLOqdZ3P31uJLCFOKtHniELv7Ew/K2ivobKaW/HsOako3sGe8wWljtALKzxanq
Ek0gNbk+fucBGaL4q6CHeR/AgoUnwWoy5mHGGB789rMydu3wZ4vfgU9J3TvYGvow21zpkzHfQv8d
cr0y3JOlsIKj6g5beGwanmNpN5ISHnLUTCi5Lvom6jsM/H9Y1cUw8CxBIPO0cg/STQd1Y+MdrK0z
nRTSYyACUfTIABm34WQHH9w9w0oytVky+mCJl0zY1ZMA64hqZ1J6kpCdN+2fxdHOrNZOYRthJEgT
Mfy90Vywupmjn95Z6ntb9uGyxspbMh9dp4foBBQ2eyk84KMB5qbqvnQADViP+pZogEtvxYAQcifX
wUDWSEP7r4IMsRrMBLPPkzkVywBeqx9i10DzAPpbrfCWtlB52EWogsxtHqwqmoBxdLkXqEpkeu3X
5gKKuHRe2ea/qHHKxuqb4Fax6E4FGjyrB21Tbntl3EHmRQT41jDEqvr6UTsnawn3i9nGHg9p5HEM
pdAe1W0SDPaPqGHB4KWKPHIbm8J2x8z0Lrqyk5Aeuo3toba5+Hr6AvBBh9ajY0PBplbsU6DpFq5q
SDaxQDT6S2avCNPwWdGjP3QWBwNRTH19uAaDFst8Z/tnuXPR2kOiZZ1aUK8wFoJD+pvaa2PCc4K/
Ymkvxal+ZJ7zZyAIOO691LNzTe4W294sf9gb9hQBxIHrh6AkqJAxKFKY8u0mw0YesizCoD27m0gQ
+BKNGHq3E0eWCWqYxq9sVXm1PHRJI3gKx7m35vzcomfh9iMsuNpvPqZsGMG0lV+0U7OnFeRfaERt
e0xtKJN1P6C97E6ToX8b0Of1jHravXOEwdpDapW/2wriDLcxVgwTT5hfVvcYjxmHsvPzfj3r+Vb6
buZITByAjroK9Jb3ooXzBA3XW+N81Ti8OMJpWgINn5nYCNVqkCgP83Nwk/xNd1+qRnuILlpJMKNi
SlhNjkboxFQ6mCCRXC0WIIvboYOpMPBnbIXxHFEv9gbJ3Bg8eaZToep7HEqz5oa8irPjhmmLvtIp
kQ7M7R2FUc42NbuuvxH5JRkUBcgA2HRk9+yJGwDFk87AqR+Uru41MTMYlOWBBfP34Lmeu12pUdjW
ZReaotAuNrdAMcSuUEm4VkVHOgztqih0v5WEamWnfMyg9QYi49XD2ewCaVmQJ4sIr4JpZgh9n5Er
iYMSvRa56hFmj8YvshqSzfqiDmDJlXDMDrhOamLEIRvONnVj7JMceXvb3OXAuMjmBSI7XPFStPnD
H7M3DgF5Vcvb1ruHemtpbswG+lY8eSKyG2AVYm9PMwzRAPaKVm2QaAHjyk3EvtkVlW+8tswqSNXw
KzYfYKuMXRPw2gxeLVMtQEYD3oJNmNKNzFMcON9snWLkQWlEGuFxDx5sd+6D49331yGf1mypEnmT
hx7zI6wrhZF59XFMVYV44s0prIEmUursKPoDfoP7pYGUb0w1Y1KngfFMFtznqYvhmoFntiBDZkKE
/Ghpz4PM0cVuh9o/tq8YSzTGzrj7wav1V354W0LuBJqwO7yhgzfEvzR+QkccWMmUiSC2IuRboj1/
WhMoyl7xfsfCGCMhkiGpwei2MREnKRI8xdyIGLR2ikPZoJ4qZ1cqeGZB8WOqs87843CaYYK+XGG+
hiJfR3pnFRgfH8t/3bRvX/owQpOP+GE7s1Hyr/rd3YtYFcBME74T2oTpjbCE6ARLybthiCUYwh0/
Y2KA5uzo5OiZHozxk/HOb+hqoKmCKVoWvHXWoVuj6YC1+2mnLr2zp/UZvFgNR3bID0Rh1QoDwzoZ
6u8a6RCvPoHTTnWocC7af353w72ELTJQvRSqQ3KkL+OVFfSxqPDsF30hvxfYc0EYgpbMqo9gajdM
GFHLsh65vLjcflzn/KtPgMyQlVDd0cXhkahyjqXuVNyRFUVfcZtg3PU4FNdsJHsLjCA3awx3oZec
/8L1a3B/5/Lmb59meOP8PdSnHi8BZVGL5K29ZInZJRMGr/POMiF3yfz1GWOa0EtWt+Dlb/8HdGHP
GZoDCHmRNOXLt9VLQC65PMKQDJOVEaejDZINkknMAas9cWJQZyu0NHqHKQJZM4HIPflIm8+mBK8e
gCvKOBrB8KUHkeunBHRHAnVgV8chjO4RK9dcMf5Hjg8km9C9utYBPbtfY8qIRyCnhzktXwyIJdMS
4OO5wztJsFODnV/14j7bB8SxT992hRMAtT6ir+6fn6Jv9dAKlBA/wAqOJSpbj5jxsDhEkh3InlvV
7B18CuNLDxW7hrkzmO2GxmJOG2wj4NmBrgX6mWLtd+o24bzvfnx+nB5nczwhQGNFEdl1DNP6S4/B
AS5PQ7d0PHvDhUH3B/WvgosgW2OYNboz4qhg+Q2pZ87RidYxmBMyYlyzQ5d+QGAeB4pG90qfIcQh
Kl2f3Z2tr7OZKJZD4kvvDttTFsubm4/FWkDkjQ4FWeaQPlZubuGwxh+bZeTNe6VZ+Y4bZj2YZTRa
sXlfAzS+R8wkPBzgIlqAnsebgLxc7Ot/FYkWgLjHYgkiCF4MmsA2oP0hNdwkC8d8moOvGa5HNKVN
PHyDhNt+TZbZH133PnwEN8j+ydNS42KfbIUMkRihZ7TPhXmEz4LVpcEaaTcm/NDWaY336UTOb3VF
mZ8xAqky6MtBvWyfwSvVsaej8jTC3okm+Jf4B7qC2Cjhd/cSIvPlYqVujlWNI+oIWm4QDUbqbClu
pGbDSDFiTyUyw2Ed2SV4F5Z38Jpbyb896HbsaMHrMSMDM41wOZyU0YjLgWHaT41oF3gBP7NnQAr4
BnYh8lgzb0nK8mhDWWS+iHlPyEdF85anE+ogpp9wAEemb5CHIg6hr1nReVtDZF83lVVm5LzhzUD5
PEETgW1j3FfTFQwk55l18j8AHCAvF24SfM9nNGHPmy5gSzqiQe1jhFwx++x31xYaYNyRpZe6ArxG
9Q/AF/uHctmrKmpbEFh/rv4Mt08xnN3gHE6ZJT4qD9r67mugeZjUBw352BapHbLHll+M7W38uayn
5QsyP7zrMW0L/a0F1kJjjDWMHSFR82E8kUNz7d74E1LItt/yijokihk311Y8GAsSWXfWxgoHKv5V
Ao8snCXgizk6dyyc4FD49oGp8cOnaOa7JbyN4xNZU6Yy9DZ97CIi9rldogCis5N1aAF18cUhLn18
RDGGIKhKb8ZB0511sD8GhHc/1zvP31cYw2HsIhMFiet6Ed0fyRwQcs+iaMCCguXXe12/iBGE1fNS
p3iPxtdwwrPxYXmv4cHxkwUVAiWax9CBLlsarjhs6A1cpPHjHz30V4W2jxBazF1GCpQr9STqJ0Ui
AxtwLbSlcBd4fJoYXWMSV/iIU6YnDT7VS3i9d9h9uWg3Qx2DCsnZgMkj+8yPfYa/H/dN6mGeXtAL
o+j2Iv6t79tXQ/byFCyx99OZyVrv1+53xAW0cEcCvYe4Q0t5H1E/VNPHZHglOPIHlW4qNcPEHgoR
WPECnUUt/ypQTruWnLD0W0Pi8WLsZ/hek8LfyRiL93Wdl8sPJCW2kSI6iYrczeccO63H8AOqPiBN
9TNCj2C9OCe+5+/0p/xqoPY7Gp8Y6WPhNXI+6xSYZTRj441wcFoRiuBmRGtzgKAJWyH/ln9LWLjW
vnmpCwvfG/cpvdtvONjlehZobkkMsccWsc/QKCb0Tv8w1eUfcD9FZ52AVT3gcr4rcMwxxljYD0mn
w9Ds6J09+7mRjlcP3NnD6LLFAgyA5YE99LBRpfebTNEqrDtokNS7RjDq1O31P+88/7BPfjSu0G6C
y8ZpcQxxtNZLNu2qK87VJ+hxz0Ck9j187t7Iq/cenusuxs/Hfwze0/279QFKTJEL+rGtfGAo6EKQ
lVZeA/vZI9kEE0UbsOoFQMQK3zpyUOK1h4QzVJ/KLdzmaZzyuj/XDVQd/k0CtbcC1CJwxQzZ1blf
xsR7N8docnNo+1edL3BLtRIY+a39FUBhojLpHQa3Vgj0mxwzxqeVHTEChvdEPCDEwbqYaHCpPPre
QYe7wf580MaqOrgVrhqWYgBYfuWiSLIIPCxUXoYOPL4X/vGHjs7HQkNFcQAFhg1nvb78Caxx3jF7
o5CzOVebqHdSufvOQJRZiOErvCvRBJkQFAw7Or3aqNm8987M+DWRMKkD3EmunZUI+lzC8o5BW8Tv
/UMpAqGul7kQz6kG09MgxWLrH8UPdEChDGUYe1sFqfKazjiNq5SH120++MuNAWVYMQlzxGNGOIXm
74cwUgOC4GZ08gWOEvOrsZ6xC4PJzwxJhMIzerCw1KywV7Tv3aIarv2dEZzg0In/UTAExIqm5Q5s
0agIkkC02FWZQ+ln99mKG8DyYbw/RcZSF72EwBSurlNR9hjL4ZgtL/NwocG5hnpSFg1Ptfj/wywT
6zb+NLh91rSCQeCGtFpwFLnuAAhGmVZjgtqiaQpPbxxJdssT8pCXNc82ROVAjuarwPtWsRHshQTr
EE1Po/Ns26hb6fw+PwlZ4ACSdpBidTZ2O5V02JYqr00bXCxcKMAcJyHf/B0QbpvflXVBf7Ns13G6
SkinwVrwT4S2uebBe1UQDFunMYDO4xj+IrHpP8rOa8dyJMuyvzLodxaoBTD9cvX161p7vBAuqY1m
lEZ+/SxGNTAZnjkRU0ChkJkh6CSNZkfsvU77hMaTHrpEWvvS0Cd2nV1hsD3754rSowzSUyhexr48
Wi3DYUrnTSH6cmhEWK9srX22NuMvhz2eCvZiXRC3rnFZZesJMVorn+pXt9+O43EWZzVitRBFoFwQ
nVlz4fZyPRjkOQ8zuVRXPWS8jkI2JMPYmvRuEdh4606+KGQP/k1BXqxW04sfbadPvnoD3nW0mbGH
bOYfHFkh22F4zDmRbB9kfVYdU7wO7aqPHibuVe05tBxytAGlVsopGi1RgBGVW27BLT9b55g0+4jm
eU2y6RMzUJdolL9Web/WeuO2J7f76V1iOGe6csJdbFyX2V4x5FXdIt4Yo+d63i9dY3ExTg9k+BS7
TNSaT7OgvbkxpLGuXLFXrOoOh5DqN0nAyqbobPT0DEKKoOouqEumtHG2VjYdjDreKCmvtJOdinrE
E0QVVzplt/FEQPPFeUYEeWoGy8AO1svTlGbWLiVSmdMiPTfCnjGqRo6EH99VadK+6+KzInIoGHER
hEOZGxFI0pzHXIZWsg/C6WSjZx90a5yCllHenH8qeGtywoA8yF6LLu+YgZrRKMX0pnMnvIk7lXmH
rkTRu8HQQFlQhRZFTMc0WOS+B/9K6W5+aYckftG5jeY8QSvJuo9vhiEr93XjjceFivscV6k8Y0JV
eT0iHv9IZWjv+rnOHqp5IOkYxuHGkmO5h+aBotP05jNvQlzCCF5xMfuxPlqOeZMnlMsKL5fPblbE
52ZBBwgZd0CXEyyWnk5+ZQm1Slo2gcoDuQDhxJquPFVR2hh7wzk3vIqWfdck3j6G+HSfjlQYohTv
Uwvhg4QiGSdCsKJ1tplAHrIFd4srMACvPRoYD1ufYdWIJVAM2mHJms6GbLqxE86TeZDMETPL4F4F
RvlcFnaySbIcpWjui75+CJqW7lRKKd/H5NON6fzRF4FxvszyPfo4WjaGBbF47+QeIaZokZOh8IQs
p74qHVoxdVSBBLWQAkeDMtVZN5ruIfeq6kIH2DJodeRdfbB6VQbcjctn4wfzS5FRSM7n0TkBz7Ri
1HWJPKDQ5pNK7UTy77So6pTmWe235X4OY4ucZhyeen9hjkHRu6EaRiCSU5D0vYbiRUyVNQvok82G
Py+rPBUj+Fjdb5pwJomTabANuxLLQ1+SFLZi+kyYZkzUlfjnbUb2kkirPbN1itMyt7p4Lx2KK11c
LVosBFlZ2YUo1Cfzth09gqLMDRUbTtNES65hUMF0LDkRoWV+r59bZAzdVWI7yt7NdgWM2IZuE6CY
d+TKR4mzHgeyv9R32qd6sNwHy/BQug2MUaI7lSVqUzYxYlkl/b1fVGqpabvNR9hgKTRid3yrGePI
LqBL3PxDW1/2g9edF7i6Hp0uD0naHTrW8yCQdtrdLM8NcPrsTfXApyiDMIk2dlJWZMaujdFicn3y
7TSOjNdST1H7Q9q6Kq57xTKh6zY15impq57xY8Lro5NuAqSvadRb/qNPCd+4VeYy93uIqCA+Ojx2
QkaVtsOFrSYZnSkV9dl7MGmqPlUUQBXdBWU8KUgLgp5tHJaGSSgsZAjIPXMt/HWJn3n9Ng86L7vI
o5AjI63CZaHXuWOmH3GvcAXMcV/0L7TcaKWv+NGiJWxN3Rz7ECIrJjtDNgnZjhrTu5zigUbjWFIB
PSsjMdQH1xW6foyMxaxbxcXs/Zg56zhDi3qY906pOOzTxFom9ng0vEt1EYp5JIK1BhQgrLeidL14
onIwa5uovgZyaHYvY+a4DhOXWd8Wwzx6WlehtRNdMNo62g14TYCb19bY+nu3LBgLoAM93fuGboxp
ZQEJSkqxwWyV4Y3ezaqcDr/37H/HBTB5/ie8ismV7LJW8A1WMFTKQD6zpEDjk67RwyJmixEwiPk+
cq9/f63vtvPlWjRNmTm4jFWO3G/0CVurLnLRW2E7a3t4RC0bvBI/isK7n62h2qR4PNHjgutvyOl+
f+3vbIKf14YKbrtsw47pLWCBvzBZUmCbmGunZp3JkgykS4pLhju1f0CXfPfxL1dh/qCFwAHdz9+e
ZtIZnK0lT7O3c3a4JNnOqNnrJKqPWar/xA76p3vyFqIFoAdm9X1n4kqHcQfxCGiiR54WkQn3lf+H
x/ZPN+SbXuTBlFzAu98e2+BWAngaj83Ojm54GsiYS/aGQP+JLWwtXIq/wkCWR4fgFO42k8GXyQa/
viBZ2m5lo8Ekija3bqAJv6nfmPU+cQN35w3jkchvxXDJ9qbgBM3bafv7FfIPt+oR/MPOYAyZSyby
6w+QL/Niw7JrSMBNOtMzDoBtwsQzk9LV76/0D9+BB3/E9UGuMvYs+PZQzSBnPJVF+W94XjwCc/2i
ypNn7tGu7ULv6Fv1f/4WmZ3CzbEioK9+v7WsQRFnxlazZvq82BRom5/Q3WLRtEVISdD4E+bpHxYm
LDyIsj5tHz64bzeIdjUb5plVw1mFq9zsSWKzw+8f4j9fw2deOVQ6m2Hlv74uL8YUo9EfrwOfnLlG
bIDIB3/076/ynRnDqozwCjDuk8e3ULJ+vUqPEQ2yBE/OAK+ATzmzv1Iu9/uL/PyKvq19rsKGCPCX
aazfeRyd2ZihzJf2S4Rtt0yf49R7UsgZrHE4hlG5mcm+jBb/IHJyRBQIIdKWPuO4jzsOlda7zasc
aXgxMXpIFVe///H+4cPgowQtCHQlACb3jSiTol9EC94zw7GxqgPaNL0ZJimOQiLtNOrhjyNyvgN0
FigJUzECWmTgSXm3vz500Ki0AxXfB7s2QmIqEBU9e4tG7EQfHIuj3xhXeWBh6qb/8Pub/fuyck0i
RibJuhbfu/dtWc1z6k5+QDGAERO3btDfVKX9h5X79zXFJVzGKLl8kRGU119vrxnrufcn1pRDnCz7
65ZXJ8bwDzeyfGO/rinOBdu3OesYwsmb+/UqBBqznCT7qUIsY4d3BGZnXVVv+pyp1A3tD/dP25q1
UGp+uSQRBCTzBefkQXWKvn324egj2gs433smda6i1DkEjvoM5uzQI0VTnvfe1u1BUU2px2CDhOu5
6COMqngzf/8S/xbUuEyqAftpEm/AxPz+hAtMp41GgU5nfELD+AIXduUWEkk5LsL5D6/zb7v5cjGP
vQFUL0OAnG+r1StjidkHnxKgw+vuREq7oc/z1O3/83tattQFNAp7P/j2FQo/GgpmYWB+HUUB5AJP
bxBPt9Iz7rvSJHCihP/7K1p/+w65s79e0v51CQnhhNDjJe64DF1Z/UVZbCjxgRfjqpN3hHlULh7g
j/7h7X2/LjxTdwFJQV0kWGR//7aOAP37k+3WgLpIM2WNW9uPL61CYt28EGgDaor0c7Qz0//5Mv8j
gv3+s758rT7b/738KSg+U5MlafcTsv5//+2+rvjf99/yy5+Aw/4/112A8b/8yxb7fjfd9J/NdPvZ
9uW//3aQ7cvv/P/9xf/1+fNvuZ/k53//13vdi27525KsFn8l0S/DVP/f5PoVmW32ClZk/kxqfKOv
3//ovyH2VvQvn3jIA4gXQAn++WH/G2Jvef8KCKeXOXsmQ7F/zlEWddOl//1frvcvOwA5GjCYZpkw
4nGstMCNll+y/0WQ7POOiX5MxlZa/wnE3rZ+no9/3XjY3thu+PggrhFXed8WKvDlkpwLKrMzGjSS
qq846+UNefODNSbiEAv1nDhIQpQPM0eW5dk0juPt0DTOhYkYL6MQva7aNjr1+ie4x64OSSE36Yzl
be7N9y5FlZhPTnMOnHAF+Ww+KPzqt02E1KeMOISiKsHePWafM24hvCre7ahdahCOo89Su7lKUaIn
MqwfA794b7AtrCAkrYf6yuom765smjclh2mdTYVzLMprcCzDXVsn1i5OJQR70eyMJB0e3S4l/ax1
RbNIOBu0vNda1fNppvJCJUTH5zK3bIilDDnJzeEOFSyglDzLt3qizhGG/VFxvJ01E7x0jDZHL4t2
YirESVuUoaoo+9RFNiHvqpFDo0LD9Fa5XNFrr7oekRn5Wnx0q02DUubVk85nXSRPs6QYk1agpOgz
UPf6agaJmqmsNsQ6tNxmNowqUWdtBo6CLQWXHHLEOj+YRs+A4ZIuSVE11VVVX+OBw1iYmA+VefSM
hIlGtcgPBk12M6zda1wA3VpH/T4csgyDRJqsq7mYdnZJrxh4E9rM0t/mbfaAycKl0xHdV1FbcOex
3vjWjb8wJCqTdswUqkNgzd3RBbZjDBhz7br4qLN43JpBUZ6bDhShEXBMUA7xbgwPbapGWu0ZQ4Ft
WquCksUmS6YblDhoFpoCWbkYfShXWJ6QE6NSSMOQzTqqIMe21JKS8QRV8xMmKKj19h1iVrcG2s8k
vhgOUKgyJCeGw4iqaip2vMZm589YgsGLDwfZ4r4Fn1485NatpYbx3JINLSAUpNUAu0aN5r2hYcbh
fIm2wQxOhI1SbwcIH3lpVNuEjlarJbV5hyJYh4ZJO4G/C1ufRFwiDLKDpbcluniHgyQ/OJoOv0HM
cEiYxHZMI7118rJe11Knu2EIKDvnQlPiMWF3pWq+Sl0sj233JTQ6XmFgJqrrlmZbr61tG0pxnneJ
OK87v9xRbWF6TF+E11ast3zYqKd9jFKxmW8aXO2roBavDl4fZBPxdEpjg158L69dJx0vqcFF7tFP
K8QjLXi3su+Ns15VeE2aCvGGVAxOrNqLINJ7qZyDCYcqrJP+NcVGYYSFjaFwsLYFCfMMKlBEk7M3
ZMWgR8fFwIM7rkL9MZtNcZQOYnqtxvuyG+ngj/YTNWHz2MxpiKskQeU1441wtPcQVsrclK0OwY0Q
rsKMKI7g/J6iZHp1BxrnRgEeoB6YwEA9lhLH5ZQERxRsn04edpsqLX0k8YTVSr15jGs56fFadOZ8
3dfrRuPKxGlWc2+YWvPGpShm5DdtMuWv1ijOKHHqnVMpeWQmxmOfOUfZSvno9oG/yp0WJF7p1Ye+
Ta6nRJuMZ1h14SjOK7u2N10VGDdhKV4aBzJFEM8fXjXfulTO3ixRfvq5ODhDpm4tzcgD5YtHL0Vf
aCQioHPVHt1SxBtAv8k6E9WP0MneaY0X4XwnU4zTUy8vPOBkwh9idOjYkwvsoEsZst2Fihrd3Ava
pxHzDXzKrHhMziPgfFvmZgRQTToQeOPSxtDdmejGLaCnYIV9Kdkqp73x27TYZo312TrOY+9V0y7z
ihoZ/qLoG+tj+UwsqnD0YTKWFgaSuQfq1n/pfhxXDd0BQKvLnpDTZZ5zNE5xN3+M6lIw04G/beun
coH9AFUKAhTQvOX1GAKhKrpzsy4v6irqDoigL3IJg28ykozp8/VDqrKbJnGjbRTnV6HoD303fU3x
dBfAxTNjdDcFsvKqKQ5FE34A4cs2Sdw92yMWCcu/yyPrVvbwpixzFWOsSf1+vsBSQSO8YXU02a0f
3yo5ugcbwu9KCVT7Te3R9Embe9PRTNikDn9eLkU8xozaSMDHQ2rpTbKkjVlbn/XItO0aDFITPZvC
A1YTodKy4a9MCAcmhc3YwTEZBulLTOV3NdmTs50P/jyx9IKUt21Zr2HKUORRsbXjJHDYM/bChChE
2+Ayb8sCfa9zoGx9i3lAr6EIYccfi92RD1TiaIErayK4rZryUCLqmxo7RzfD8lX7RLMZW09ujypW
NB3iJ2G94oR/zRyGn7kqAQjRGTDxqve2URmHHb0ls0qTXR81CCIlAFtZM393DqGv9oj4xsJqNs2Y
M00xVdeDRDFTIk2t9PiWjgggtaYJXrj9tSSwOLmVez26gEDSEMNNm81I8eZPCnorbRYfjlUhpCvR
ETKxYD3A7aGFo58ksl4ssXe5Z8zrMkQr3EUftc7e7BLcaxglRylEuym6+BWR8oUXxjXyrDLb+kZ8
6abusPINbK6RbJ4MNzhqE3xE+RJm7offlZLW0kVW84hC9uqNXbQveR2FKzcAXTlrTjzQYLQtFHqr
fKEWKshKkwv2oqGx6AHtZHdBIiT9YN9REQcP3QMqqdszw++IkAZAdiyv3EIBUGXbMjyUVlWd2XSG
Jv+nGvq5j5AthkE/HVVsfJpuek074TxXqrhrwd9ubMSPRlkdLb7WjWV27TkDupocLYL2BxTxxsMs
6XiQCD9m87Rr2ibcyAp5dc2ssJUt4LFNGaCSucUmY1ICthP0V/Soz3OK+8QK/Ew1hCCvUY88ias+
Ks11Mbrvoh/tleWUjyTP8gBxnOZG5eUb7K7FpvScTx1B45pNlDa9mA7aHF+x1WJ7R6DXdN1XqQaa
+JZ319CqCvB7bS0H+gTD8lbWJJ7HGCWEKS9jhWE/8/HfhnCyajpxd0qIjdv0z1XbxavUQljZxzXj
5FnTmLhx086qSzZ6AIqhuwKypWZcoEwZYY6UGOPrVycdG/1CPuyJsfC0r+O5Rcrqt5BHG1TgTibX
YTdNuP+RypeoWFyc1xCq2JS6yvOPo7b32aB2jec8QebozjCjnwYICmdOOEBPsJ0jYdW+LccBpRiU
GbOtf5gCZmpq5sihm88U/NXONz9HJ4EuhHh61xSOjfoZ+IN26tM4J/LECYj+SXQ/yuV3w2t6x+Nq
7DC8uHP1EhOQQW9fq9hU1BRyjOna8sBvYmsWyOOCZQR2LAqCURkwY7QY3vAYvgVpal+qSv1w5vCA
DPmCks5HMdDkFbirIW+h9xn1fcNn50njjbrBbdsMcDmEfx+mjArpLQsrMmVpOBTdRzzUH3nV4WW3
2ACbVj24qmrOptki1HMAFK5o7haul+2hQx5DyC+ek9/F5y0g+kMbtFfGbH8VzIfeG8HaSmsWrhPf
hDTPZ4nI3YV94jdxgzVkU+sg4m6TixRnRQR66cwfyqOpEcq4tndBT9K96LVLmTy/zoEWilkAm04v
sAL58CartyjBdzDMGgl//oWcMGn7CAgQw4V8dWgIkEoL0FVtNdjiK++6kdGVQ8CdjuG0F3XySp2u
37nGfCMK/9qIjB3A3a1mF83iHk5DY6cIBqwfUIvcDFBI0Km1SpObBJ2Bh0oJe/yNR9dNOtF7ObRo
5eY3JtBdKZMB7BlqGgFMZbSoJFChx+zgfDCOD5vGHL3NabdOkRYlTQVdK9EIZ4r0sWjnG0PNF6kX
ADoFhLBz7ZNpdx7d1yjbTSldT8LKmrNFwD4ZoKv4ldhWMBJ2Uz4/yMq+KCqP+49hwYi9U0tEpyOS
TyL1cRXk8hTGrwk/HqYIdL/+1p1x8gYZv5hlzn7I0GV3waL5QXsRLAstvqmj+ccQkzYp8dqL8E2r
7D5wm71Xecxl8UC4G23Ky6zMH+ySN1OtQK0Yi50tJDbCbn80u/BHH7TZmRn/gASmT4inUMMNHqcT
WGFvcvINGzfxe7zxJmIarSKkHa68iEf0oQLDYEblbIUbtt/wm7+6WZ+Xoxj34K1G18hXjWQnIDG7
NTnnt3lsnQVBSWppmkej9LONZ+dvY4iPvzFRxC+RN4qJ19KC5iaq+Q7WwskqwFHQRt5YvW0fpgZT
tgXaRTb8zWPZoepGGGUkTnBKAY42qn9gpgSRFzzRytLFehgDH31zM3WXNIOtk+tjIsvzq0RziuZB
eKuHdg+tQjN7/VKA1eOk2NRjdef8NA5U8dZsWAbsE5fjgpJoamyKQ0hximIA7CG6ryi4UAI4bG3O
gGg7BeGIi+o6nbo3R6caQUJwX8+pOiV29NBM6KMRiqmNAiy6lQY33pESY+/ft4uBwdW93mGHq3N1
abhTtLLGUKxatsNLXDF4vcanufDnuxpL4Fw00cWkLycXIXyjaUWUCGTHFoamMhL/0Drevp6JYJx2
pIXrhlAymV9yGDFJrYOgGTZDlGDpjqJPYSfu42hF4qyaoZQVF81s6H3TyHFdxhhAxc/gtUmRx1oE
qHNzkyF1zPy6OczJuE+l5e3NgO+8C60TSrdy42jcgPbkfdUGIz26y04X+W50mHLLMQMbvux2Fvs+
P9kmD2L6zFaxyevuotIxvhBQVJOZUYinMbWZyLZCZ41T9sEFY8J9hw5ZakDAoo3z2MZwB/oScAd+
4S4PiL5Vc+v1xKMFOtkih52SvMQBEjYrCw567jqsVtFHKvCqdyZqXoOjVTQU3dCe0I/GtGNa+sPK
0qcxJDvpc85aEfgQD0x630M6vzkNB1BPfLweXfeHPUUMs6ZsQw4trhsPeknVQHEII/lsoGuD4ocD
qj/mEulcCJl/pQn9d800sNCrJwfMHDJ2e7ds+VHRoDUtlgkMWCos8RWDKlleHu3BiVCNeblFpsjt
hmXQ9PRVozBWfmoyimbcJ0Vcrx2JrCu08x9B7iznnIRNg7xW19MhmuSRcYjg46p2wDbnYcTDNQI0
wN3AYtzanp1iMewWNTksXjitdfBDuAE0KLet70cfufxgk5TUFWhKjSJpG4QwqE2z/QAJIDZzHBAH
kwrxU/cI6CGDFfXyTy6YolBMp558hSO2X2X6FM1orfOFKFQG0d3AxmUXCxnFDI/x3FwALslhU8Rf
ZuPcWBXZs9L1M/nhIVAM3utqrLxGCd9wwLhSoLFXoIDIsNWzr6lUwCSCQ+xNYF3c+FLP8qP3BYRr
jO6dcJqVn7XnPIWVo4zzPk85n3TGORvc+yPmRx0jthnM97glt6r5MwKwDSaA4l1V2NdIiomQm+kM
SeNZOBhPZUWlIyumi8Bik20jRkx6+nGo4ouozDET2fAjteE89ZDRCpuQyZpgawjNCg9ZYRPIebbv
Z35mdOmZPS7gFHwIXXwextjtZmQ2shjyA2sfNOWE9kMWyW7Wb7oP8Qsv8alQw6lJm8MgFs6b6a0z
XYhNG6SbKhzx/KZFuFWdnVwNw7sPE3IjBtZbMg+7YMKG34klsEt/BLGGlRmOSHWkD/6S8nSnv6ii
yx3EIHY5M91j8bpPykAeSpQ9NuJwo8PRVzoriM7tlrEGZ9ABzG1rYXuokFo2pnmKvYCyVogCNBGg
s0bcy31cuGelZ6ANt37UXHI98JA51niN1mghBR6B78EwPCYMH0W0h7CfiF1uYDB2gHkSxgbmZUVQ
iqsw50Td+3PqgbQAVLHQhPIpAOSpxVc4v5tIcLAztMUtjIut670rQ437LicJ8M2KMxHABFT3eVtA
xgqdxib5z16cNL2tomKGg+NnQB0WNrRvwWJDntQpGYNX2MUNYsee5wASGx13y+w13A05DlVYg/MK
/ZS34ieCqUrwCG0LRneUbRu7fO0jjfVMYoEwSENpp4WbPs2o/ZfR62Sxluzy0Zo8pIV0C1YjP2Vu
RU+kYATf1UL/oWvYo9c1KFXZKVwOs8AzVhjleeENaxRCKFEH49Gy83llWO5etMhmnel8jNIPZflw
9Hvkyy1BFSB8B+HXysXhmPKpb7MRJ1xZ8zo6tsshS+5y/6osihKjhDmtiUY8wIugfFG0pONrgiZU
deQQThY+9C133ABTWqVu+WyO3DHYhte2sbeWN9yFQ+sxluTMq5wBZWswrCuTYqMnjA8xNPG2L28h
CbjbWWIFNKL4EgohQ1wCzlJ7vg5V0+0GX7xkSfCRIVQGfYdSvoOokaFxFSOjmyE3YP0p2ysqv2RP
Y4uTnyhrmgyqt53vUK3RKMP6cF3xgqZKxFRLQDJzhkQkUX5SHZzc309IvrbugG8iCJeSIRejiyIP
QSV2TAiyN6ED4IqZZhtHcPByAENaapL7ckqeQ1bPpq2wkCjniXXLA6mCGcZRhRsIkcwMR5cpqhgy
wIb0BHUB1aV1gtmrIKLT8Ms2tWQXMO0XMwGKqLTGL0Y058SPBQI9kNrYllYEw7dkoOhYe/LMFuGe
cCsgB1AERVRexRH5e25y4E7IUCWMXLRm9TqcgFCMPoJlIfBckFu9tgN0C4rbkw0kPp3R3luN91wn
4knEmhOCgDLMceOhiH2xDYIPwmk0iMP00ijjMgrVVW2rjQl/o+rCS1Ic0ILLOo26HL1VOK8GkzBM
tmdtHX05Bul42FkMpaj648gIMsLnGRpyAAk8dZINOK3znglh29H23sccPophAhCEK7f2QnyAtum9
Z8W9aZvZgqB3VxrIurRJUWJh2NuUOCRJxrOf/5f7dcjVB4T/LnXoLPsslwoMMtqPuGnjTeM+GZK/
OB8I4TTVnySg7OkCA8AoyoLBahYABe8Hu0Vr7ozQ0RPgJYBjvBQzlY5yNI7MvXDRu1dqPEUgc9Yd
e/0GrNJzMDl3XSeAbsOM90u+v7qPolUaPk2eUcJeHML1iDQ+jYKTVzvvRWfjaotlyOYoT4rzHJ5m
d8/Am7t4ouBTuVWOPPbMdJGZR6ZTbRW2gDhsvoD8XlON5B4GYtu6U5xbxBIi1O+IFylBh9EmyTGk
5KF4Uya3F/ce8EH8X4WnNk6DA7PDGpAO+V1mwDok28cwXFyDLbzBz7unryQBmSWwbSMWI947HF2i
qvtNxPQE6QE0F3m9NgcAFCUGyCncZfQysEkbJmOCqBkztfgsFJhqSoX3cwgNc0NpXmXujBoOEuO2
nAImiSBQJYgJDp0f3dh1iYB2wBjRWMZjFPGVz+xmc8DLgka4zCXJzqekOYeHNq+CmRAeKfO2DHBp
5/o2MeRHlkcIaDSRSEvfSobMJ/FkdueL9G6W1lmbFHc5MKnV6BnD2pX7YAA+jV83Kviyi7rgb6yA
FNvTpVGT+bvN8MHA823XEpNOdvOaOk+GNtWSeL6CTT7Ndv1ktajwKfa8joULqc6uj0NI5Ar+WPdU
nRr7U8IUsaXhr3NyHfCx2Q0z8rZVEgFlLzCdFJ1ej+BDErdoVtEoXnLJ3QJY/lpKBy4F01WOwZzS
pksbAWMD+SggbtlAYK9yhF1dcRsrjU2jeAFQxgZIF8NzMHkZRMi0UYItms1qLbrwQ1e1vJ5GXm8S
5+/xMiaFlI0dXX/WtaZyKbvXuKTB5/LU4wQFcuX2O7/lobW6wL3ouJeW6u69+NYkillNHSu1ozKy
gg+zGrLhqwqXvQCl8yryvXMYcYxvw+tJ2R9bhs+vJVN2P1rpGeC4H5CcdkUvOfYcwIWTqtin45cp
ivJ1oMISVzys0PqqjHqqxym7KgElXk7HXssyfAvL+eD6lCkl5wZOjKKFukV5e3IPMAfpYLVesUNe
VK/Moqh303xCiYus2/GgicXXBOMOqrjyfG5+OFbprnVQnPwRu2CW2azTDqNXoJuTxTwNb3Y+UGGG
VAFBmeWQcWBHdjvPgHQ7Zq6ignljupxydgt7t5mhWQx6JrCopk0413cMH3pN0uQKWVa+6SbOSStn
RkUTJBc4PS1XPNQ9Lxgz0Vfl8A+p5FdtJhauzfLCQ7e36iUvbRrGw8RYji5aPoqRA9XMjYugy187
/5pXa7MLW+XWaJj6MDvpgUrmE63w639/P06Vbsg9VJDQM1Dio6wqwNYteNM2cB40/CAiMl1SFMe4
zKpG0fzitMVNHn01SfZZTJ6ziVP72lHQ2mRxZvR4sZLyBfF0CDaGa2rRH4kt+qUgEQY0klt8C3xp
GhsKcU+X8pQjQSkjWZJknIV5ctWzfKAmlGxQRnkZ5TXlH5cpRqK1LzPfv2rzgNEIPNppmfXBKmQD
W14WnVAIN/LFlMbzhEJnMwgE1rZPbFeCPGIy6BrBPmRcozmDMXpKQZ6tHLms6xDTnZkaF2Oozs05
ekGxz+qj17DKGqzKgXM5MmF8KEsmFvE60NbXm3QwOHyidBsIDv9ITieVY5BniMysjHprwMjSJe/d
0iYjrzAit5azGF1YDZbSR5oFGz6eFzXSxmrAzdRLAjeC3atn7i018mltW9Vt5U1YySyCzeCeEUKn
ruVLqrsO1JNhvpoah7sZMDEkLnnOI7sVlZm7lNnDc86OJYFybIQVn/Vm8tqV/BfWcDk7byTNJPOA
2xeDGDHUYkHjHzLfe7eZxIP+lB3emng4Io4+y/F+MJhMvnyudK2Z9xGIfhO01V1EC9VPY6ZZeTdd
OuBhCop057TtgQa9sZuBii7wULCECGtmnCn0yUwsS8ZHXfK9aIa3GWNjgHfmo48W+4OFoRrpF2Zx
dF+7Fr9rnNbFMXrxELJAAUqf1DxjbVse5DjobRyVN7LH9Q9VSbDLJ8yjr2J946b+h1nEd1mnrkMb
5LBKaW/U/PBZa8wMVMFgDFwUDRUpcmEkr74D4bPOrHerxgU/J8Zr3spdYGKCbYfuGDDsgGBDkjeF
7qNvIo33/KTAES9BG7V9Tl1neO+1Dz4zGXbwBZ/0QG6dHU1FD41Tkmwqd/b5iKG6W5yzIyB9ABQC
nHhj5PfBQPPUkltbGO9UKg7zkF+NJC0dEHQUkupcxptqiq/biBjb9nHeE91uvOzKHijJV256mofo
AjHseTDEV7MMT6LhOCz0ZZtKSNj2iwwFpRTjvCmEfeIM2zaV+1kijl5JsxvX1ksJNCWdUm9NjPrS
Z0jd0ugxVER1M7Ufs81wdkx8xSlJYyBuw7Ix4KT9H+bOpDdyJcvSf6VRexZI42Dkojc+j5JLCilC
2hCKifM889f3Z3rdhSePaAm1K2TgJTIzUqI7SbNr957zHWdn1PgVOeRxjzkz56LkwJhG87ZNwFdO
i1YLMyTH/YhD2wRa7n2vmUutwHM+zABslkVDS6KDwWf0a60tbw1Rz5wXmIdqLYuREXbVQRhmtXVS
d2PF7XOvPw2c7zEDl7dzzctozc6rWeLJ9rAV5FZ6GQfhHEKddoclIYSWVGqx6NyVQR6PYYiLkX1H
i0Ehx2PKe0C1L+eD5imxeQjbBv+UglBOu7rh2ONEgNUr6mnLjR+YW3+DzNcsUyQlO6eJ7tEREMhW
nJosY6FspoAhUEbCBLu+WnN1p2fxjZwvJdqFImw5KttwzgNv+FYrIwBGKhaH6vsI75mYmaRdSc/H
o5G2gByZxacqkgC4M4NKZ1oW4hH1pbn2Cp0DuduHqxb+SzNBCLB3wJYz9Aom9s8aKFA/67d20O21
Xo03w/E+DspDOdM0q4hzzwP9Je9CqrEc4EleBSCwqDmtQntt5o6VdTCVZIL/PcEjyhlsD8vxa0zo
w9IEWrkcASICpnnmWXmM0sZBrwLKTOf8YHngP6wKANxkyRLfF7W68E2oBM6w5yweaL2xSbJyXkks
hGZB+pNn8jrmLm+AVm2tLMEKH6T1Out/R4MqdxU3vbKAPfrImPKYvPiMvgterHk3SRZDs8lXzqA1
dHbxTUbsIElRo+AZn6IJC2eoR6zYbfaP8Py/Jaj7u1bunbjuHP2oi6b43V4r6t79rf+fMu9/oOyO
OeJHujuG8q9z9E5t9/b/+C+5nbIfsMF7SN1sXfkD/q/czvxPy3V1wTvpEWP6JuT/f3I75z+VNBS1
Oso6nYTld3I7pJRk06PPQ02Du+K/I7dTP+idyhdNNgJfqXSo6O4ccaV37bGN0rdnBmA1GZAzT8Wc
FCVERlyxMSMwFpMy2+eVcKhhWUESdygPs98nu7iNvnklRmmO5uXOzIe7IvSMT2LVjWsFt2GTIe3p
aGT5onTPulKPIuivGUy4PmQSLz13XVYdgU46s7lyQ4t3i/ZouHfaI8KOXS/IlAgF/kIQ5fRzms9U
2Ma1FFldjaFD5uOG6jhplGb6X74jWaAD9LUI/XH1Hcf8TzOU5l1npreck1KYC06z9QtWFi1FiAJ1
Eri0BjZnJi4lLR+h6IaHMgS625Xsla78TGr7x81kkAf2Es0kT41D2fD+8nqK6KDXO21Bek5tM3Ce
mxKkvx4QG8D5E2m6v06w1L2NtWk/hd9TSHJ0g4ik8AYyNcSOTNa7/jPf0R+WCL43vgEhsUUoNbm4
0uHjOoKOrdXBcujwARWttcKMeQZoO3O0kPuiw0JKpDnFhhy/zyzHQKboRhVJdBp8yCUu3oSZuugl
baotWTskz5Ax+K+X9vKPwPR/5V12KaK8bf73fwiluX6nO8UwhL0FrbLHi+CIq0fNdus6QoxChxQ3
5GJWwoJAIPdyTEggIQwi82zwlN66mceA1Z8oyctHYdXztywQQNWKmjggEIQpXnQ2se7ZzQA2pJHV
7yrbe4iHctp/fMnGmy/m6potw3ZM7GJYxtDqv7/jPnYLik6Hus4KZhLnOEHOQKLp22p0XE0djQg2
3MemCwjZTL0t6rJw3VrxLdJ+6x5adLCvPOZBbZP8HIe5+Mpg5caJ9W9xkCUru+U44Uq/4Uxhwefo
7G4F3ZWEjygnQC7C9p2PqtVgGfUOVSaySy0mzqCDwhA1NpmXq18gLmHJReDSsriL1qOZB/tGo2eN
Pac5OzqiibSQVHwmVu2RvZ8J8iar5HjupHZhIXT2pkzcnd2V9DS1GZKblm/ziUGTWxMLNU2kcppu
RNt9NI48fbsAMvwRERf6KUGPNEpwY9qB5m86JZlEnlppKT04tI/gnWnPVEbRrpOm2/mIyo6mRuaD
WxaHTNocRXqtvin5q4fOZJ5KTtmuGqxk3wTzAPOsmzYt22yqmeLkgGSQfh0fay/ONpE19AgFoWD0
yBe8RH8yUohVmpsG7MxQqYxU8LwQXLEMIJ6o/sYWqTbQE7f8DkEecqM1/SIrw9+m5GPRHYkYPlft
OkiN/CkkXjbxZ/8ou9TefPJQqWfm+pkSjmOyvOnun+9BTfBOmDm0pkLqXxrVJ7J1rG1nyQPy+hn7
MTrCakjFqmeQtNb88WfB2HiR9IPx7eNLeXvlri7FYZsTRBurJVdePd41KcFtG/WgozPCw6KOcJ15
FtDhuq7ZZGbRrCyr2vkTA0kmvK+tVh4z0lFAI3hbPShe/RhfjGY2qPR0efu2WzkZU5/cdBh79Pha
SB7cCBXtq8jNK173x8QZgLW4+bm1qvrE9/6JEcP82/frOVJY+D50/lx5P1xXyCxwQ6bFCJZ1agc+
HQyOGe76YJDFKBFr5KO56Ya53fA2P2lRbq0GD4+I4bCiCG+GzxMNFgiKkqE4AK1eBgdCtpwNcILf
2iDoVPUKMFHyXSjY/Tz0nEKDxSArm0gLEJXFEPYwls0HYnoIOyKy6uNb5177ogwbiYHUcRkgPbb5
835lkji6Gbgg6ZYoUBZuAzROqzv7KC2yngARLKB5g3Q13DtQiruwFOkXchHcA3blaZnAneAgpn+x
5tFfISGNNnqg7y0ZlF8J1vs5kCzI8T8q98KsaYmGLb1Z+vsEcb5EubkNDV3cB5CRgrKY1ghl4b+l
HBYSHe9ZxHuGVJhHuUo9b1OO4+8gB9JkVBwi4s5tj5m2q5FHoiYfPBSJ5tbqB1JcmIQD9q1O3NsD
OALtnNZjekvfkj1i6jYk0OXfMU3xhqD4LP2+vLQup0sRyv4UtS3tuV7TdkwdD2y5XzuowWfbKQPC
+AC5lVHwZZ4t877q1Pc1t0RTN9rzWKHKsHFGbuuBw96clNZBRLkHD18m36bwefYBuwCMfHEMRLiS
PLtFiOMa8JiXHsnauvPdzDiZLBgf32DxZ7HBKFQ3kFIZlmFgq3x/g8PGj+lRCY2m0oRw2kRkGQQY
EFDdJ6uuT1fW2MhnhX4lxvYY4TW6nZoS0lUBjixL7WpnpLZEG4C8t3cYeRXSvkhdZ8RjkuI2RBxv
ZMqYz9TiCNvDMRl+idH211qnd5/Ysd5MiO8XGstxpXA9/PPso+J6ocm0sWdEpi2aBi1n3MbnyGm/
0uX/1lq+x3mURjN3QfGf60hxTWGxNd2waFLSrUwtRIgFrUOSSk4zvTkKT6rQpvTO1cS+UXenT2Ww
1uz0NTB6bzO1KrZoLIdt0YU0TUa5TOv8uW/N74IjaC44ayPUDEF3yW8ItJFzuy79GI7z4O7zew6+
hMvbsOt9RpiovO0vYUD4Yy4S+tyjuaMuONG8ye4g84Oqcd19PclxXSAhXH/yHPzlu8NL6tmY5Rx8
QSgz3z8IeRF2bqKVPAjDV3Qy5tbsTHfhuPOZ6Bgkm4QvxiRQOURF7qSkmjNK01/NfRauB7bxZzp3
Pzpi124tPh6jS/3Qdmm0myHt37LZQLyDMzlkKcHYxVA8Ubj96Gqys0s3Po8ERS40v/GZediXsAEY
Tg98EWjHyhqLZ4JzMyqNPlDZmsHTOLp3qs9CclL6DVX0XcSEb4GFE95jmP6eXBCAE+FbmiinszPv
7HpuWVxSY+XWdKsZFDStlewkg681I+0FY4dlUGn+Aa4PGLS5fKZV6a3RBHtbnDcuBypCTcux/w77
wdum8wO/KjkUU5Wui8kG3BwxL01rhgTxVIYHS5/7lQgIgBStcyr7QJz1qZ6Q0ziXGDFDbOQwTqsU
HDW110r4Ayc1e7SAx0a7oRKYJbrqiwRc8sX3+nMgvV1ZZ2c9D+VOgKpgpDQitUMnzKTxq9LbHLIm
7BeMlWZOUBerRcM6zxVwjtKm6SQiuXJS61Jqg834V4jHhHMebQxS9ghugdeP7LBWtkzLnBC5F2O5
yaJaX/kpI2fmuwCEiH1NByBDfU1sMZIWzyvWpgEfOveadSvLdj+Nw77VHrTS7m/bev6e8q1vUt27
jSoEHmwSivD7w+0G7dGRQLlmg6qDjWDgYaKZ1Y272Sh3No/XA2XJY5sbt67eGsfOt3hTW34v89KN
1/Kpgt7ZlpLKOGv0BtshIkV6dsa8rmOTFL+892Cx+M6esnTlzfErr1CxqDEA0dXJaI+T2kzBhy99
CH9yPmgex8K8L6jL6Ru7GD10HJ1GVo2XmoyigzfeNepLcyv7q2X0XwO7SVBGFwsaob9SHxBuULY0
fOumPRtFcxmNgZF1MhdbQd/VMivOsMIg6qUbwIsNpHHOicb3qsLyDCNWgtnhl5l5+5DmOIP6CKzi
rJ9MC/KYGanAQfeI7HhD7B5kwzCABi8HYiLFOptAMYhMKvhv9MusfKYCElOLNgK+CXotOARYmAt/
Zl4NbC7eY7HrwXfCfrF6FvqijSbmJMJWOihaZoxSUGPIei8rRqDl3DJ/DupadeY3fLUG7rzK2+ZB
6OxsH8GOa06rzIZmWtXV7wQQNhvpaoiL/t7w6LVp0t0nWjdCw2fk7cUprDk4ahjSov6Xbd3Yfkg+
xtjSk/kvu+RfToDGXyozG8++jgPYwbrvXO0CPtynfBL0dQP2Iw8h8zLImA54RXQRXmA+OnyuWjpf
krjFLja54KfIaV66ITmWn1yKOmy+35Cwk+OYF5iEuRBL9UX+1Wnoaw84E2NTVI66ibQn5uwcjmo4
HD7XedSv6hJonemTZxv0wN2FZJ5rc5rKMwjR5Ux/nnhhhWiCMCb0pW6++DGzlY8v869nZsVTcPBs
sn06V2fmzCnsGVpSsCx0gitJjh93XSrOsZ/Oa2+QzQblIjMjEdMrh3KAJcFZ5ZXxi+ywlZZSp2r8
bLQsjdzidYIdJ6vXoGcSXfkGAEBrDE+W033/+Kr/dp8535gOTyjOdv71/st1MNg0Y2VyamaIiJ7Q
FwgG27NVnSqBMiOcEFlgO9fgznvAy0OT7OUQa5wbpJePL0Veu7LpjNAV0bH10yLUMdi+vxQYT9ok
0y5Yii7VtwmUeYTLW+Qm1aqfq3ndT/RBujYqj4M7Gksd1uMlqkN7R0vE3MjQXiF/aR/0BnSmiNBP
eOPXOaUXnYs6fgjt6r6xy1NJ7vm2iHggbDKKRRs3+7YsdjHZX2tXki8C2Qy6c5Uc4Tpisk9gQHYG
Yeuule5AipBZNbSvYxhA3aZzfpNridgP7vw7TXC1Tla+cQxYlF0w7nXHq28cMh6Rcl+aiJkEihB0
oEXHWI5BQEFWyyGY+Zt4c1o4hxlCrDY9FXO6zEC/HYOs/DFUrCUNwTx3zXhKKvIpC69MHmXg7VMT
MwFd1hPDSG1pmNNrKcrPGn3mn6cXaiLDJluGfprhOldPSDYQdyMaVQ+qhdxUEMbRaI7kLSNgqpxp
zdtJ9gYUv1pCZYjy4bc1F+vCa8xFKsisDJhEzp2N88IU64aNhfVOJpRqa4Eq3/KtZ9mNt52YaD04
4HNbExWZO7Q8+Rn7UZujta5APmx6cZwxXhlDS3AyMLZzRwI6L772yYpjqhXlasUBqMQfSnrL5Yl8
/yT6dZoGEcO8pexdaxHEloF3R7/oQXNXc5i9DUedkXIP2ByfKBGeVocTF1bwOaGiKliDVOxqvh4F
w6RYUKH0L0ES9w9JOO7SmUFkXpg3xK7DiwiZZNO3wc06FlQffWys+7GYcZym1nqw8xBU5iSAoOtf
NUSeTI2fGvSE54/fvb8sA5xNdRTFsFo4wthX754bhgR6KewyZVe0igw20aB0o0Vgg01WQVSaNlhr
dnDUeSaoRwynhDsNzYM5cXc+uZhr3AbHDtK32M7pukhK6asFP4PDJuqK9JWpCKK7yg03UhLCUmL5
hM7Lyb4ZdoYQNy1ajFXph6uQnXSbar8yD27rxxfz9snfPwvQTDjZSfogNB2tq5LekygS44KLIakQ
PERiNrs6q+/nSD+YfRld6uwX06t+H/dMk905d5Y9xcHe0qb0KcDeVnfzc2WEaKw0aLaRJuCfKjEw
/LTw6IURgHDalWk/M3ds4In7sz2CvabckFMgtkmnD1s7LQymDz4vTVihw/Z1YK6ecRakP4phhoSO
EGaBUhuVXFkbt62FgGNwcbdl3WPRCP8wcbivo4fARHxU4AAfah/DBS1vJo3t0TeQbnUFjq0ZHbZW
pydPT+1TMkCanHNvl4To4GrZ6590RhS04epF407z1QJxMnSGO1cH506b+zbt6IwMqiiCm4aYkzdt
k6p1IOdcfZjJgAzTsF4XiHCXUW8tyj5vMQDm84OOa4SxoU+euNYdspFBhx2GzUaPDSwaY+Ufyoo0
C9xnr3njkzMRO5TLMbK/hFPJx8+JUG/I1XOihlA0soB7eDTq3q8Znu5rCMiIX/dCQhnyXdt2xilw
OMIyDbvYQ1k9g9DWWz1DNoEYRTPkKVYNzMJhb/A3ZRG3u16j34//ihfPRCJdEfCFBHO6C7CaPPUs
Q1qbC9AFeGR1rf49pq75bAa7Tz7KX9oZahRmuABmFP3iqpIRpHUk/cRHSesuI07AGzaJG9tHQh2f
2fvBWga3dVA9eSU+RQICoSV3PUaBnFY3DX/bIuLD8sOnvCasuTTo1dRhvK1LxzqAcwKK3gYERWnC
26REPBGvPNwmMqXC98k2+/izGH/tzQhdAHljqmfq19uXU2pxNnQMgqIRKahICbDwpf9kNXTTZJxd
RDpFm7xQ0WuRJHHQnTaTQRxFG45IGHBRYAX8KePVbHTVixAQruPAYI9qMKbqWbmg7lsju8uTL7ls
CSHQARLkyCGpVrrLL8cEEJz6zbe0DNEEDhZya6TG+z6BpEG4PPbY2AxuxhY3XzHaWK+nfhvS9Gal
AbNO8qeHPuwWhKXz4GMrIUECxQTrVIGKsnRPeTU/9wnCDr/FUduIF7cv6gcZGg9TUKzrwasepD/E
KyqcWrfyG2ce+xPSUJKIZw5Xo4WBaBKcexhKuDN09ZDTUBfO5HSn+rMmafpBkz0JWcPmtglBd7W9
qeF4L3Q921Zb/yGMy4vnDfXSwf28HIpSLi0dOTZMO3x/0xacWrhkUG8vQLFCCZUI6xsNvgPR0Yxq
6O7bFToOT00IrWp2b6IGNawWQDWwRkpkgb/9RaMrneYWHpG2iPdt9JOZmLdK22K4pRbfMBBa+KKy
XhyZ0bZIsmGTN3SGcQ/payKDq0vuIz7Kg9pe9WHZbtV2OnW2/twkYG2rtHrs9NY+RozdMunHCDqq
R1flBIz2WHw2qfpz0QMfJ2kySMt2pPPWLv7XeSYK6QY0oH+XNm375TA057ixnwNtTlZJn3wxLQGI
gE50r9ln347uWiI3hi9WN74kGi0ugnWnT974PwBXlHcQkYRHlQcMUV73rcI+7Aezx14xmuETFqWn
sKRvVQ8DZ3AkUUEZIhMdYHHn3oCsWws5nHt9sB7TkgtDyPbxW2v+uQLZDlA/hvuKVcaY+f1i2vua
HURJylnKoP3ABTeYkfLhKeAkn3zLfewfml8RPC+Jh50xCKI1JUoq5qITEoN3mh/+SBsqs9bFH6JN
YK2j+X7k/H1XG85+RleZCl4L8BrxOiAVdVnVLjuFZtLGmBdRHhEClTfGBkbJPkbBsg4RSMU2xGlR
36XCr2BRDw+ffGr1qd5vIXxqxq6w/2DS6X/Q8hxdTkiGeTCY6kbVkC9c2917TtRtCLjUqQDQtZIc
DGBitjBe51l6m4fzfdcRlTGU5b5Iki9gd9KbNLBwNzK92VdQb5BCoTbqZ9adzn4xQmvVu631RBfJ
3yQhGu7ECLehRYpV7ZGF8PbxzPFbz6r62bOvto4/PiLwRMPlBK4qqvc3lu5aHoGYDZa1L190SZNn
cobbca7ZOlTnZprts+XHGKQrVoF6Ln95JvqBty6wVqAiDCqGG7XXdevemfcauRRdEf0j7kFzA4rq
8s/lvBt//1mA8n5KqQuB2gL40lUBCoLBwTDESTS1+0cOJttQt9M9pqdpgR8EF2KC1C9iiMabSGii
vuimEW9UjOuGKSt11BZ6IIeAGHcTYvB2lQNqWHfyLi6k3KauwADhad8Ye3yCaf3LiyxZV9RATfXv
kYu8/371QM5e6fAiTzMOKhnNSP+j0Ns2mM2WTj3kt1lon90Z9pHSD/DWW2vHdIJ1VxzMsDY/eZH/
1NQw7uIE5ajhtOSmX50rsii18W2wb8GxgE7BnGcD4YAAGUOs5mQ0TlrIyH3QJNGe9cTUSrxEkv7o
W/X2Ngn2ZrrGwJ7ejoYfv3B/OfVILg+aHloFi/HileLH0Kwhy10LRc3gG6dQB6aRymrJSPLZ51Cw
pQjyV5CEUcWnkG67jVkFj5Nuf/n4Ot6kCe/fCumis0ABxefm366eN2fSY9AuHLHNrnr2Zw/7QwMS
aBrqeadlHuEHDcm1DDmyVdSH8caxICuGFcXZAFJlEemGuW7s9n4wVAeSmm5b+i6M9xJ3fIJ6cdZs
b5t4Vaf47GKrG0+SsRg0pePI4GWBVivGEmnXK4QKRCRXw1dNA/6BjMDcEuV9Kt2gOOogBdCDNPNm
zjxvn2fWQy+Su0lt6NDIAMy4FKumWxIS1dG6ycsvrm/rFLYSb6kPM8nzbWdVwYug52xqh96fxebj
b/IvGim+SSwwjlRqMvdauIIswyckkF6hk+f53n3ypRgPNoafhi4K3RcEowC1IjM/6CDc8Q8WF2D0
7bpqQv/oK9vFxxf01py8urUcqT1OBRxnedKuX4AicshQl+yscU8LHMl6ATFt9jqTK2GgTjhuvEhR
r+N2Umt2MhW7Pq2zVaybFJeii144ft+XkfMzqPJhT0kX3JnYdmvNSo5xnTorSbnGjCn1jyTV+8uw
H+tdojkXvAdnYrQJG53EzikgEUmcmmgy7nN7cO+mEOmoFWsn02V/m/DaPWJ9Ii03JVzC0zMU62Vz
l6GxWpqiD7Z26GQrPQ2nT0p0T52M3n9F3CvhmUICSPzzuB9HozHFdUlaSW7LvYZz99gaRnTUbQPe
Q1ayZlBrqGF19oAnlr7uYLFNj90+rUgX08IRXYxNLoos74O88bZFHaXraq4xVWE49cQrYeAYIT0S
lNvJ/U1zw9jruEbAlGKhtUf9To/ZVMPI1Fc1pPWuHONzD//s7OGY3PiNKtOjkQlUKsUZU11YWy3k
/+aIKCjbhQk5qn6UZcdeVwkXLu6ZqM7Efe/wG2O6JLdtPGNNSoqtDJAVh+70s7HmLezZS9OQ4hKQ
S2ZaU8l4YfLBubXOMmzb56Rdw/ST69YRRMgypzgaon0qsVyXOCzoWeANJWpjPJiVU97JqFwJN3jC
pmwdKk6GTGuQx0R5QVBnEmHksMdtShFhxg+ixQnGgfXIuRStIMi4kpT1g0i+BfN3NLbsXUVdbLzc
00///MMzP7ntfzmYuTpqTwf9Juueda3XKqwy9koxKEvvvR7S7HXzn2ah3Ua9Qe4VqYRDOpBbVYTL
um6pwqL8FBVTdHCZLrvYweyom45Ii5ZtVay7ZnyIRsKLOuHfZQSGmAG297eugpthNXRx4yDnTD6p
FAy1n149u9TOAio6Y2QTHer7/ZZ5rUgq26dQDSEccyTr93XabCX0mHO002eXWCv3vps0kvbi8YZB
Sr4ZBLWqfQ4iazxxmd4qoctGVFGBfcbNTnns/vh4EfrLPkfb1mF8QnHpoR292udCojPypuNxIcu2
X8HgfwwmhtNV59rrOMMDNEVI+KB4ZcSv2lCveJMAjkBWyJkMfHwx6hu5+sYctLUCmS38XgSa778x
p7LSyYNLx8lCW1Zes7Fxfn/8K4w/e9YsJbraUlVPE4qnWnL+dcTCMIaHr1PoFkVJWiA/aHdUGiQW
RgU2gMqo1l0eWUezsINV1Dm8mEhpdPAKVZRO3crw099eX/mnxAx8XBPU1sAPDiis4NyFeSl2LcHz
HkUcJEBe1VOw7SlzTs40/oQtWG4U7oOVtkSoZ/qCBsMw/eD5jI4IkejiDaQhNSXcxTwdvKMedCz/
Ttlv9ZY2Ogk51Ev63D1NU7OirDIPon9o/KQ7TWMb4b9ohsUwmC8DnqKN0VJN5dG8jL0UJwvHbq/m
AiKImks/2QwpD5uVNsbemfCb6c7TGGGaLLPyIGaUi1XlE0+AVWCqhu9mpRu7PL2YKMeUScM6j3gR
sBpGGxY0f21TpptjFh4ok4KjGX4J54aZNjP8VeqJp0bydGF0Q4Zvt2Lfafq9ndLAyOrg3Oac2eKw
VfnbgjQ+b76rauvMdC445fV0nnIGh11LWHFRceGpTRR3h8qgJ3O+zwn6dCcrWdcJQ4eiT1i/oyK8
D5wDo4ly30fHvvSiGyzgHcxL/wFvZkbobHzbM4LfYxnCGpdweqiwOK6txDKOUdQwcQPBFy2Dxpcb
GxbViZeCJPs5PzMVMI5ymI3jAN4HkEN1CLVSP4rKFcp7iZMaOdPBpGg6QAw9YAzStqOwA+7jkH32
+v65yqidUSHuudeMx9yrhtzYj/nQSUxQHB9fSRKLbqEFfaulNPccscA//2gdKNh9nJhbn8HFMpW5
dkqnplhVycztUmAE5ET+IY21SUlNOBMKnFb4YNP1XDQn5kbxDuO1e+CBaZZD6wI8dfMfDZFDBidE
tyVSyoodlwDGWm4ZQ9+EgD5uwFcdnfmbp2EVWWCajfUXA+/KXqYy21ktvj0Z6TuyV24G36vvNM+e
t6A7c2EbJ2G2ZxJiutjyD7pdBIcw+0VHNMH7O5boCvSYcVhpG7d+tZd46w/WkHTHMGEJZVvGk4Pt
+zaOKzIYvdhicnYT13iOoiksbgxZFzezKL8HuQ0HBE9goo3VHtPzXWrOr3ozTuQvgN6KU15tDGYw
buxmy668qIYq2pQThz9C1Jom2BMKBOVpxCwFqUTD2YTHP9xDDREb0ShxVwVmNGVgvkq8ud9FBtkz
Q3FOYiLL5pqKzy6hxAVThtaJzhizfn0919bA/A/rG42Z/mYo5b3hFih3zRGDC5XPwizhNZYeRV3t
+PuBCVNYGfax5PBIzjBK2Sw9poOTMRnGuoulMf/krG66f0RX0DBVKzSdIVDG1BNXa7WsgnZK8DYu
gcX4mBX3Rmev6sL42ois33SNJGF0+gH9CIqfMsPR2oRdGXFWsTL5hCZ4XsLppFTxur05BOBCh2pj
zuF3oYx2JY47qax3KR68wk9oepc84wX+vFgZ9YDICDrH2spTJr64rS4Grj7K0J/gCe5C3H6lsv3N
3YWNbEvk2F0zYAss3wyCOAVjHIOOsg76zzSsEtgZJEcpa6GjTIYMD5SnKN1qyoAYjFgRJzyJ5Zs5
EZdio+yKjjIuYqSmFMEerSyNkzI3WrgcU2V37JTxscQBSX0LwmXauTgjB2WRBBpBpKCyTQ74J7Ph
C5F8v4SyVSbKYIlaAaslnkuJ93JSJkzcBlT/VrBMlEEzw6lpQrNUxk2s8a8Fk8RKWTqZbWCHx+UZ
4/YccX1qyv5pKCMowir1XeqvZYsvqlN2UQ3fqPslQum/ITOwJ9Y4uefMA/xDWU1HPKelMp/C7MS7
QhsvxJfa4E9tlFHVxmjZKuvqqEysAjfrpGytAeHgujK6VvZDrYyvPg5YV1lhJzyxKJSRqdDQzRkR
rmO7UKgee9tN8qaS8SFSWY4BNkSSJoMXJDYnA/etpmy4ljLkMlIHncjom/HGoVOmXZX/jVIcBDYC
/EEZe2dl8TXw+rICPU/K/GspGzCwqVXh8J+SSVIU4hWO8Qwz/bqJLUzEvrITa/iKY2UwTiITvpEW
3oZ4j5llkKQq4LDwYzjLNeD5xlWrDMuesi6TrE3OXLaY8DRnytwM5RHaHX7noJcPQCAPFj5oLRSX
VBmjG+WQ9n5b+KV5SJ49l0/rG5sak+sqzhL4U3isfWW2zpTtGkToz6Hx+kXDcueQYBf3mItM5dXG
s63jI4yzwuF42KfrXBm7O+fi4vM28HtXAx8VmgjkabzgTtzDGuAk4wT8N0Z6NpVtnMY6VlNlJY+C
5DexvXzBVv4YG8sGz7lQ5vNO2dA9ZUgPcaYHRvzq4VSPlGVd9khwG247zl5lT+exseXdqIzujrK8
Y5VuNwkueF/Z4Q1ljMeRRDKqvXFxzHfKOo8DdV5KZac3iph478pa6vVLOOenuWWwC3D6kpj2fWBg
yXfcY6JXBRpnzPqasu1rtGfBOe2CGEO/oaz9sALAdim7P52SnRzs7zPzZOrXjo4/aIBMQQLwhypk
ANJpUkYURiD3n2eFFdBnDO1VDjqhhjkAzuplhEEQwiJ4e125g+G6glMgFbAAaN4JozsaEgUzIP3l
twfdoFOYg7kFeEDqDvWBfy8gIfDyKOJZsJZNyYgfWoKmsAmRxc3QICkEVftaKrRCPf7CaIFGxKBa
w6LyY1YYBrR85aWAzGArRMOkYA2Byw9X+IZCgRxaFqIasoMG4QHazT2g9Ym+tfeq8VJ6fB5bQSFC
7BOL5M5WsIgCaoQLPSJRGIkySp+zkF87QpgIFWrCgzmRK/hED4UCnOWdqYPGMUtmxCimyPuafzUE
oa/GHbPkjJFksR/f0Bb++CoU7EKHeiGhX4xZ/Toi5F5E5ldDa147hcmgKqdg7H8GcOJ4tqebnNUq
VWgNX0E2cGhtXagbdrkdFYQjTzMWTLgcOnwOCafDS4OHygXckSqEhwvLI1ZQD+qwnzqUjwzaRw71
A6II3XsFAkFmdwIOc6oUIkSXfOuxwob48EMaOCJVadqIqmjvl652J0q5mwaW20zhR85lofHg6i7I
LGKzBankkU/ysEPzdNEhe7HQQXFLHfYhhTeZ6a4p3InBoE9TABQkaKBQWtiLoFEsBUnZAOpmKqXQ
KVJBVHxoKhZUFSe5aAqyEivcSjqnD2WjXVQiG5Z9v1pp9q2mEC21grUkUFtChW+hZ+hBEJHrArJL
mdQ7xJIIhBX0ZVb4FwMOjAYPplZcGB1AjKFQMUNwgAwEymPiSY0VTQaqTK3wMuC2mNCWCPkVeobe
0I8IFg2GpA1gIXxTClMTuV/LDmyNVACbUKFsOpg2LmybHMYNfikQEAp7k8O/KRUIpwOsocA4jkLk
1LByAhdoTq7wOb0C6bgQdUg0LUVQLWyF2gkVdGdixJ0oDE9QAeRpAPO8AXog9WQK2UOf/Rf2nuWg
A/Php4BdVJSft3/wu0ST4o6eKVGUUE0oLJChAEExczR4QY4CBzkKIRQY03pUUCGq9B/EReL+G+B9
KPAQas2JAekMk0B1CqATgc7o1pYCFgGc+00b7DBAMgpdHiaFNnqDcaUKdwRI5caAfzTM5AsTJZBn
4a309edaB5RkS0hzWm8/04Sjc5rQcX3L+qnLr7YtvxkTThS0y5D0YBHyLm07mEyFgjONCtMEkHZY
sXUtGY9S5dB2SnSgTvR74AnBebJFxfNsBJBY3VVe0zBp25nhnPV/SDqP5ciRJIh+UZpBi2tVoXRR
6wuMbHZDaySQwNfvy9nb9kwvh2QBmREeHs/zJ5JLpjjTfLqdE78FEKR6jZIyNVSqgC4V83bDg+pB
mrffDnqSaHoWffAQT5CpGo2oMmBVlRpa1UGvGv7DWGmglezA8kK4CjXqqoJ5NffJy6IhWI7GYUle
bCO2Bu45xceFhATxuz32YO03Ik9Q5pwEjo9GbMHa8mFuxbC3OqbHtVz/eQVxw9JaQVXQNGpcV+7l
zrbz2Exbre6iitlghZ5tNngE96LtAGgoHEmUQ5jTeLtzjQVbKBEWO/zt2+7TCNW4jyEnBNjTS40U
893kPiflcKPzqqKxfKo0foxW4rfUQDI8vPCANKSsqy6+hpZR8D0XEmKC03+vGmtWls2HcHqejUHj
GGCftRqCxuuHc37+DjQebdKgNBuL28wCjwaoZR6J18nzAFet0IC1VKPWEg1dY9xL0jw1XAOPbWRP
CMr431aD2iaIbdYCr5D3L4bkZmikG4/Au6chbzm0txzqG4Gp7c7UILjYJ8+bh5TRPZC4pcIVw52V
QY9LQrGRLjACQ4PlaGffkFxvNcQ5GbKxU1VGsFs1jg5W92nUgLoOUt0MsU6Y/MSThtgV+DyYhwDo
0YA76z/UHd8bLXoLxWDUKLxQQ/F8g9BLiQytcXmm0uA8CHqsiuQnufbr3s/zJ3MoP32bOzRYxEtd
GVHa1f0uo6qEwOsTWVAtcC3b34SsUNxDxZOpQX7h+sfpun92kwFnr0A7LQS/ewRy8iqDAUzhQ9YG
44y1HurtDMRmS62oyYGhs7i7eUypX1o/OanZ7gmqtM29n3GicaBvEFIQixvnq8J1kzIsOltBP2xj
IDDb0dDU50RuzSVEATAfi64Fy8CoJPKAHg5o6lEyw0Fsm+kwOTrfg4lK1h1tFHULcGJS2AAbPFiK
g/pnarZiAmSxx8W+o2kco2r+alsJVVETGcUy7SvNaMSWnbM79KdL0vS+azu4OproyDLWDup2ves8
hxRnXNhdCvBLcyAbgJCzJkMu6odRcbJ3aotxUB/u4V6QNaL8Xai5km6R3Ca61A2kVoSkDje5B4Yy
1mROvMvNdliXo7na6f+NarH1yFz8PQTZjy6TV4SGJ3dmbryhqp09Tb6UyYqQA+nRCNKPBTimASRz
snjosjJMD1ZW/Kk0SRPdHtKLqTYkz8wxrM3Frp291bgvNRjOUfM4+zW8OgKyNaDOVnlU7LUBuxOI
5wzMk07ovi3gqUrN+WR5gRKxHz/4ixDrNQ1Uli+xpoMOmhPqaWJow57FAh5UVeRDFKP76AFf2hCh
ACnDb29jMmAq4aP2K02wCZ+FDIHimxwQnXdJUxbEgSVSjyyYQyyURFnJTTGzwAZFl5HcwolFD00R
zym6QkRl1yemXQSSWmtcqtTg1EkjVIkGbV4qBz5FAl9VadBqNpIKOsI7AcAaM9JpOpCsbl2B95q8
E2Ef027V4NYAKRtw5XJsof9hWP6G9O5idKi+eqOgItItXKrUIRsroGthta1c81+uYbGlxsaKTBMN
lxOi1j4GsYmA1v0bNGq2gDmLkfNo8LyB7dyDYOQXCZ22nucd60fj3tfg2jpeBjqz09ixaUy+7MaH
cVv2wG47jb1lQfQh0SBcXpBqP8HGHTUkt58pXFbT/JE+EhUQHZtTYyx2DlsdjM/T9xXerqHBu+UI
1FBCDpk6vb3CYYRxyGTikfwdkwXeyBQcq3W1+djzzw62r6chv458XmD+Kheu6xrGW+kuoBwtGCez
RgTnsIIXDQ1Oehab0rR/pZn0shl7PnhhYJDV0bDUKSFmm9iA8eZrGHEGlbiHTtxK7t9iGHVDtps0
wBjaVL5P5IjfGzqS+6/31x42V17tXPKdC3fBUWIGoKJadYDN1R8z3KouzOTC5PuYYgQmwVNaaLBy
14NY7jRsOb+VGr08/Qdh1jjmFi6z1IBmovpANfdAm9nEBiWjQc7WMCNErcCdeyjPcKQ93Ac4jg2u
g07h5MrsEvNucCdaM7w5zrSp+8pAOYY7qPi07dy/c03Bp/KfXNEQp6w2roZPq4W7NNVA6hSKhMg1
oNoUkdTQatuaQQsK8ZpYHcQJK3wBWKC2sbv85DCvE9jXloZgj1jiNqBYA7BNPdlAln/nU34hcTOk
mzRImxjhm6ws7vZgiHGLh5wIgKRgGVGWbz39L1e1KWuQ9Lb3JGaq2yy/xx9MpokGeXcQvcMX06Yz
sma8rgjhx9nphn0HAzyBBR5rKHgGHXzSmPCmR+ZMeWm7ln3hlM2eo1WNu1SShOJkFf7+9RlgOE86
BPICEvmgkeQMcopt2VU/eUnGRIq5X5iokWKyz4GjagqX7Klr+cqTxp2r4pDbEhh2iK0OHrrUYHSv
g6rri3EXami6dNrbrDHqjgaqUyAl2uxvLgGuvCT5s6YhwPTZrTZ9mywX2/+efADthYi/BrrPU8zY
xtEQd6Vx7jNcdy7Mr1hLEoVGvjsa/s75fUC2fBmhwrf1NxBCi2WI9WuGGk9lP27mMTn3GAP2Mnth
znnwNGjeXifMA7DnE82gD9CJ4+/a7i6OW4Bndhog7XKgzpEHUIUokr637YV9o6l6rTXo3mG0mNCD
bGgqEyvDwUhzCRk/9UHkrxYdqW1dfA3PTzRG38/N2zCajwhnb54G7fOYsCKQ+mcOSBYaE9RADeWH
zu9A6Z80rj/V4H4QSnctqHynre7b2PypWLUbx+Q3JLzMgPzvkAAATSBqSQTwSAaYvaHb0AlN6fzV
6OgA/kyqElsZzLmigKVTs3AebNIG0DzlviJ/gB2v5WCRSFDX4l5V/kNrElVQmSCPiIa/zk3WI8Ns
4VboMnu36pQD0g4CHXtgxiDts5ZM9Dy59T4oVsZL3NMPI4kJlY5OYDJ3W3WYQpGRvhQWxTkhZ6GN
k1utCF6QxBLoIAabRAY4VutuCHBjktVgpI21oR4q+T4PudSnznDf63gHbknGuD6ZD7XOfnCW7FAm
Hzxfpb1XOiCCjbn+3A3da20qvdrf5VSA5W8Qdr+Zm/H0/scd16ETBekTxTDkQMr9J86wn458ikm9
xJo5Wenginzqqdpr+ZuX882v/GNbdV8oVdad4xQ/cTH9oF8bx1AHYng6GqPUIRkGaRmmjs1we8rH
VkdpUK2DGeRXT8YGxj1aELEPVvmHxhMkmjN9gf/qWQskoKPRUR0l5SZeQOtctO66n2zNsTD+9fpv
G6P820kv3w+dzUfaYywxiG+2qG+5Tr5k2fk3l0T3TWv3Ppsn9Ya5hLpWk/iaNeDF9lljFePYsdQA
wSpv8jcXQ5lfVevOs3l3BUVbzUL7gTU55uR9gLvuXZCTFrmxQ6DMuFNKDHvZdt+W0Ze7cQ0AKsIZ
tjnbzLCDfCNsXspWA3u7nJzpq9mhgylPvo4WGcU+KBgM7b7BhuQdnRYMPtWTPDSG0KndYY4gixTw
WksVldk0A3W3Hifpi0tOvgzgcq4zO3btY5UsxUblkuQlFOM8JXYqSZmtYgJuOcEVbVQ43kgS5FpN
qXUFsfROB2aZpg7913hGB+9IhycFF6SZlYNn8/xXRyRbI92mczBFHi4qRqIW8T6tj4VwHg8JKpjA
O3V1x+GasaG/VhwGOErYhcwhu21KlT8uNQvkRiIw3DBq6qsvgqk6vgnBnRp0u9IXnz7QFHbl8x+q
bOPszr0C3DgYgLMVb5rpmne+092VRj3CH8eh0HggIVY2ofISnYLGkNiDwbnxQwfnJRH+2bK6X+Xl
5X4UZB+Si84xs7RIKWmD0NFKb++51o9brs4W+jbl6yG0jCeuiuu6MHyEb9AF3qN0sscsxWQfYFGq
MUug8+1w+NQoHcxWx3Y992Z4yLNweQqd9kTGXLaz1QKZ10QpW1hojZYio7mLxZ1fIFeDt1ykU+6F
4Xb7tC/RIesm/3JqN9+2fvlaaDPQWAwfEBFFBXVeEDylcR3wMvdZ4N5gOZxc5f+RXrxvwgqk+pr/
YNd+UqMjSUYK9CXSX20WO6ien8yGGASVXCxujmx0mr/jNDPGgYY+fbEoXEX9wsSOUaN95YSMArdX
W8k6nPiykuZX+OvA/AQgA+q1o9kD/TEo8stg0xDJ2XOiFF681WWczS5kJwLzKqTOJnWYlYwY5/zK
O8Nlvy/b7gxwlyt/ruZdEPRne5z0LxmFjLjHu9I1/9qL/AwzKrWudLytMJYj0vtbxsNzZ/XZe1t6
X1wQ3o4B4n1lc1X0A6+Yt078ftB1A9eRW4yPKF8AErED+dz1wsQB6b1l5XTDYsJm9uTUUd/dsiE9
xOxtmU3BWeAhnEjx0NXJa+n/iR1jE0KNYB6O082vHAz6LhUEi33oxaQYdnF4Neb7II9XDtNaHPLc
ODoJa9M1S5Sb3heP7UTm0TTwXwiW9E+z9HcTWQOHwGCAUQ/Y2bFu5Wyg1szCZPVP2GxCGAIirIHC
XYPI4TV4KL26wvPtzNE4G++Fky57rwp+Bihc1DJ0+jrxbKsgBJGuWPxlYvviWcK64NThZiqGaPAd
bPDLZ0f+FJwMbtmOe5wsyA7YyWhR6CDeNj56bXmJ+/DZHafrGJxb0ld2IMkjS1SKQh6WO74dKKJV
RLgKxYD/uibE1IWOZK782nnjc1No40jswoQygdHMcxZwcmKjY4LHKDR0vhKsVRGxyKAKnXPvSvGG
xZh1bNYX2QvpuxF0i8lkgAWdTTIax3nBvWpI2Z3cFuJUO9EvZyULGC7pM9FIyblpnBy9miWZwSHg
LbVFuWst8bpQtCdh7YJDa8pork1m3uRLboq1jRyFXMLpDSt3qqATkmu4xYK/mWZvjlj9PJgcMizq
Mwnt90sAY0AZyc70mIW5Gl1lj/l56T0o5XobhtDAC6BYnGEJtt55Gpm/Zts+neMTuvi9k5o3w7Y+
slq2l1QkatO6/pPou4dycCY2X/ySqUxu7PN55Wrzq/1stCLiDD5N5i1POJXNZGGVnRsT3+5NhOt7
1RNkRT3jijC/ZgvJK0uY7DuHaU4+Gz89suDRVAFIfQGSRabyzBH3nSRFxnKYezX9eaf0rCJutItf
qa/AmR5kt3zHddbBygGQhgOMECNyM5KaUs6D+96M+X6S4bsyuABs+0sOQkDnLw0yesjOqxL32LDS
6HfExgLvOcOA/jNm5YsV3Cr+uUe7mjXIJ6lPJ2W1p2wyDthBT9ihuwizxWXU8UPFSFgYj0DioTGj
Gu0ZxqaRExtPaOxRIkNgMEeHCFGqpeDiQau9iXl9CefuOla+OMx25nJLw1vvsr/uaML2rLyfLvd8
Stb1roiTT9WD1qejYbWfV5ZFwoS6IPjXpWRTGg7fHcM7dDOL6yTAJ3vEA2kc+tR7jL10Xyox7xG6
mDB4ho1xKKcBX+5pD+ABIF3vhkUU+2GeuagHeTCB3bGMGK77uM1ZbHHlWwgN5skvxTVUy2noDfcO
WfQoTTQa113fraBcqAg9kjS4n4eF6hmP1jkTCuteW762TeEfitJ8HdfOvEyoswJwKpDP5tcp7EvW
tDAG9HpRob5Ww/4JK0nZyKY7oJDPtCRm1UF2ggY+nDyZu8y82u9iYcmYQqtlpneq4CEwQjtaLd2k
k3jMMer5pQjEVeR9FKrgpQ4ZGgejQNpCewBDxjMdUgZh6GdPpEuvvF8cOTlDfBVYxV6F9itLOxBu
vC88EogQU/GsUloVormO/GKAvFA0mc3fwKregGGA/s0aW6f4PXB5MlROmaZ3cXDnyZZ9YtAnghpK
5DDypcuxQOBvU5G+R8jGuLUKxqde6u1cVcL2/UcYyHpIe5cwlUX+8fKiu8YNhCv4eWzy5nqkQ8+5
vqpidI6kttsBA26HkIutbQt2XIL96KAwsEv1JDHZbJ3Rvpft+MWS0gMeGJbejBXNbVFsodAm92nw
azTfo+l/lT6KLwil/dIMv4zHmOay1G329ge0YM0/T/6xiH4NWcs4UgOhPFrsPblWMMDPOfnKdqNW
8xMVg2EPuNWW7C1vWxMaNDFu5SLu9gAEXuE5hXsukFuaVOUe4gr3HsFpFFwXZfHmjoHFGhkHCBMK
5oDjAr+s1rqtD0QMWY/rJwtWYo3K5MjoDE5L6uQvrDKz3kiyGYFHVfUfacx7JC2CH4JJZZRU6xKV
3fyaUzBkDrCUNas/Wgcrt9lItW3J/5378GhQRG/WCQSTQ1AhwwPCbM3WOZXgLHzG/lsU/B3+lX0w
2YD6hcXTZhFuArGZmR/bad12bfRVlyrWzQgMrNTCtoAtnrIhPJrBOePqh2lQbIqUmSOd3zGo3E8o
ov9gc5CJyLpygLaE2Xt1mQXZwRcr5QCEOtgfdnlDzvrk/w3trhf/hrWB8p7Wx1Ct24a3fSHVyp8S
srPKDCUjhvVH5i/qQRXZirJ66bGCyJJ/XHuvvHUHaah2ywCMhS1V7G37Y0iHF0MiROf4RaHqMjaq
Sv8z7oacLfF/ddOpz35xTizkvozweM9xYn2PQ3IeC4Y0ZaO+OxvqoF+cVHdbkWu0YSgHFoMoxKQq
T2pSCxWwFLOxt+ngnOzlqRLDOwa134Y/b0tyxZhOHb0cZINjm4yiYCtxsqEILpCE+dSno2rbzxIj
wMmGG07IlSJZanh3srA4JIk4eNZ09U0Bzsv5MZ35kCP7Db07YiFpEjJl+ftpXvx2DnwqGafcrcNz
H14ICBNjz1Z2w0aHMY9A5S+DaRzyNXtwVWrshIFSnvpLBknchvW72nIDcv+xF8kOXjHOX9sl8mCl
a0kDG0vRRMpUgbsidB1sv1rDY9rgfmED2lS5YPWSvGjXEofMJSNmnt+VtwAAMunM5FoeegLZZt5r
sx0umc00kxXMJEKzf2aEjyE+2Bn9RCYUomiWQ5UiBRQ8cnjKwvVlqYiCqvUGhhlsCeMwnsJKXDiq
qPey/A0kwkceDH9AaNWHobmBj3mfgvCxkMhFBpbeTWHZ23VY/G1q85tw9AtX9a2NNFEwYUfqYhDR
H9h/HnaG/Yf5k4nqEuupiM6ezOE9eWWFusKcEzhDvmM+cKKLpeXp9XJj7BFSt7CXlKZ1lK5k05BZ
BfCpPxVGiRbOZNMbjEjiXtx4U1scDHvbWSghTpgwu1/tjzxdLzj6500jII0rL3j0Z+po9hjQLGem
h6Fd0TQhNssujfg6zLhtPuLWUZI9g+7oVKk8rGL5g91jdAv8bnHR7kFjhHkgj85ATGm54O8tAgSp
RMUhVhN6Xc6XsAR04C8WxzXSY6Y1QmbcZxbgYKq7Dcy7funOS1W8lObkMpKomcvF3mOizJ0rJQJa
YA+UNPZhDbwrgD0cs3O7tWfFB5iuf7yq2eN2RhLAAbSzTVKkunDlb9kzUyJUzpnUbcic04EPwtgP
eYgbbCw/oWkFPF/gHkfAiXbt8sqA0pX5wHVq4KkdhxJaSAAaxcfnRgtNFU2UoDKK15lRODqW+UV/
JMaM+8rjBZxleQ6xFkWqZ26U1cZblcUdWZ8FQQOc1R1x9OT2jtUmrop7I7bfOH8PowlgqKiXr9Ym
wn0wV6IPdmnL48l5Prt4YS0Dsbesg6fJbpZDjGOEznRYEH09jAWSSNdKItJhhnefZOrT5648Wm1w
R2lG5KUqw/0QqpvyOhBWPRXbHL6yxgUbIOt268hCr/3WDYSDiqzhWyVdhSVK5V+Gdg7O3fxBRLC9
5bniTUYdASTv3URMAFjiG2mkhKn/Y4jjw6dN2lfU1s2hKd0WT0O1gwtVY0nCUDiZGcdBsGyHeUW9
H5hcez1/uX1nuJoQRshkY2E6XnZvZtg0ewo5FvDWGt2wx07Ve8URPyoPvYWfsva4S0aBAOXghOu7
pT50zXQXKlCpNFnmTkHcwJJNmrA1lttEEaNFIjLJ62yxkvC2jT0sPx7BOE08BrxNfLaJrP/aInmf
7eBvFdMSmSPjqS5vXgbMMjscv58e8wVlIKhkAbmluf3hlI0XFUsfzeyPM4E34m0T4B+rwNJERJzr
YbGdQFNsNiVghG1a8vtLnAZWCpHGfBjjtHfrCVeiV9MmqznW8FGcL9hvRZcdM4t3MA44ZqaloKoh
FoWV8S3zMBctoX0qrQa9h7c2ha6AP4Oxaj/Fd2PdffgJjo2ksBgaEHVHlhoj9ing0TwxeQO0jkF2
bzGVJH64cyKQX3zXrp9F7Wwf+xkl0SLiLGYgvPvvqAyymfc+zDdTCzM7Td2/cz4cJ4IyxnIY2HVa
35FaTGKKv/0SQW2ean3LEnzntUUbVYW/n3qTpElDw/E8+6w4Hhub0Q2AU0g5me3uoCUwLprvLdov
Ei9s5AY6fo5uKn/X7042/gyaNLklKhbhUqMCU27eC485hR7i/MbDaIWbt24JzG0eqqy4jqm7XHoB
Q79K8DiQesrOi9gVFddq0TMZw+8ijuMkEXfdhqgUaz0guGE9y8byVJukfEwFTuzxgGM+3YY93jg6
jz3D//yKN5r4uAtmhvgIF/LZkyHZ5MRnyRmYcj2lqCVD1t9zy5ubvALkikEFkEVJK+0SilBQVO9r
W8Z7K0GC8uZix6YbzbjdvQu8q/z+US8aa/hNTesLpiVpqfliEPR0ocD2TrXkEFBkHTIchqCabb2k
uaUq17F8GBVGa8BhgpkgMqV1v8S3OQailqVEZfZkyOBo6AGu4OnAqTAc2ZwYdrVKvktMWJVgXdSU
9LDIVR+WTYR6WVOllVpICZhJ5UHP0L/rydMSzUY5CK2jaTH1wKoWAWjk4mx0Stk67YJB9WdXGI/k
gvQ3J4QFmCY0gRYzf6zpHxbItyYgCcAMhuHEwjPvsvu1+jOyrYEy7bXqpctoOiBq8Wv01YMzKblT
WJ2gAhKYG9hH/PRPloWdIeMiPRBCTTqHogwH0wJoRMlCHz3vVUBjuJjjczgnu7EPfzSwWhaRMWM4
VIY973GwsnO8trspLvdGhlKR1sSyc7icBdER1MhyBMEcUl2ZqKxq4utBN6WnoFp4mVV4LTn/LSle
VmaPrpyZSIBmLUCRBM10NEK2xiD3Eq/A/nmBD9djir0pChxoON1fi6F4H4FwblmyINiezI9uDOo7
AYIrcUMmGujQFLrpQfhxyRD+ZCby111abFZa8HVLbT0ym1+vWh+TWAGRKbpoblhOXp013Cp2F/4r
b+IQ7gNgwJF8qu6Fx3EFZ4GU08Cw5rryMFX0P/6wfAbx/ejRd/UV20v1el/3SYgSyFy3KWE1tsl2
zNIX9jvMQ9kxBijpLNLURFDJxAhjhl8r7GIaS/5UssdRLuN/MdBNVIYGSnem0n3hS2qYmEF0FXek
ssjqIkT7maQY9z3aVsRyKkAuUkZTJT8Dck09v5Jtf3SoQKNVYXeIS2c8tzqlpmeMLaYeR0Jo1ztS
HY3a2S528rwMKEFiffW9Mt8N2Go7Nua40a29O7ZE6YZQ4xvTHqNSca94BXwtTECPg4+doxIueIoq
o9KtDuXUVaQZSXG0+4Z3x67+YrSGrltkf9DhXgIM+hKz3s0X7X2n/A/avH/gL3HyMPjbWnJlyVC1
RpQVMkIAZT1AdK9Var6MKcZP6QBtLCv3Mchyxqz5cMMtRkJK4nU0O0i+lkJ8chFrLXs4hNjENdxS
krk5T4fck08ZY6EjcORvYl9+fc/aprVL1tz8U5f5sLMYUdMgsJ5jokNjjv7mm+/PCh/6htYeR4Tl
wl0y//WtTK9lVn15MfKjj7MN35haHwySuAnImrLgvi0zAuVQzsjN5ugOio94wUk8VRWYe/Ftx/D+
x5C7LC/1uLaoH9LcdV+8tL5jSeJfZqHOuKyEfk8BV6AL8azG/BzNYj6vog0PiYsTaeyzuy6rXtVq
dCdJcTt74jcdzGrLvv4YgVZGEcjar7mz7QtqNPKrEdwDhXUvNcRlkSvv6DgnIIfE6XiMKidrmi7J
UB+MNYWshtzb5DaYYkhBrAU/ZW6Bi6mZiJ5fMYUEUHD3LfGYEB1Yttc70BOsx3tbjvczBqQdm0iv
I0sNTPxxWJHWFEJxGiJOrXw/9h5po3wBy5V3aPPhDoTyckl7vg2Gg3s/tucTq8RttI4kJKRsnUWC
4nYNYu9OQwiacsAoFwTZznKZzlaZwN40ovLWcmKdia/cdNy2g3LuiKW2HsPYOk2VLA4WQ8i9shbC
0Lz3wnfA7JkiAzIptMsfL0eAyhbj0vKAOmaqoo/VGpA/HBa38SPcGrtpqFFTWsIuEnqkOjCGU2Vz
klZ97ZH4gEzk2+/JYrkRK0l46OjZmCL2EV7/nH2Jdd21WXz4D77Xiop0N74UZTR3uwLcso2Nwtn1
GXWzRRbzEb0ZRax4divDiUogSttlsrEzjM0Vyvl1tJV4ab4FpuAIF1B8/o86V3R3RVoGxyWdn1NU
lIO1+v7e6yFrZJlhnXCJ3nIjNijDVpgDHfG7YYyRBqAgsY4jt1DY9VTyg8LIWCsqL8DuicEmW+Gz
nJTjEWsz42RpbP2a2TivRg65uE7x/pPlA+2x22UlMz/2FzbaOrZx2e05xQSCRb4cuRMFRfyKbBq1
FsV/uubZIY4JdR4cs9p3DelNbT5dG0NIpiyIee3gMUloxdGdPU6IZl4jx8rrlzQU29B86MeZd3sI
v7LCBEuaJ29h3dtsBJuf0zIZ+6Br3yRg8zu2lFF/Av+hQJ7Hrnibs0U9s+yNeAoGKaHEeHP84Pk/
LnrnBv/AN9RbiylvgiJ/lZbFUiNUkEkFnAkJH6uZsFAz9ghKefJb0P/erQ1lgSV5XEaQT1E8Y81f
zJjbnHL2Az7xqTT7u0VBEsVgSgm90nMUpsP4MO3zr6ysbrXQFfnaBZeAAHU2Ewgdtk3vfR7SLZJd
/Ncp1IfI6SQ9+9GxsZUYrFFvlt607kOr/ltpcCyqKfZ/Vcm7nvUE4pWHexR/lyRXl2QtYjc6FHyT
yuDsa+sjd5h5j5/JxbWRhlE7rlcQwNUb35lxh9Z3sCyoc2sQfPSMaKnUN8z7mGthw7k0DUXgVNhv
tfSdrSqshJeMD5FiZ7zzB3YXrAciIYaHirXUHWmrQ5RWwRh51RhvUAybS50ke0yqLcrgbDHPd0ik
doiGw0uLTUxehT2zJDEL0sVSVD8Z5JHdPLGhML1RQQLZ8nu2Dbz6OlsMpsmlzJ0WUUi+Ajhx7o2J
xN6MbjFRzkcnmZy24Oc2beWHO9rv6m0d3K3vxs1ThgWO0DDj0FlZeehykoTTytqFMPXXHA9BbDBz
ZB+GKR8CjjiyUx88rwVdvRx1DeSHsBRa37mYmBQWOsE/Qq8O+GnF1Ggw7sawyu7TBr/J1HA5zHOT
HCtoTA+ldOpdzFgmSlbxZBIUdRPs7x0SlRFDWF8LHxN4zB17LaCjYxilE55jd4qIq8XhLqxqZ9nd
k79a7+tQ3Jl1V+4n1YGc129pyPrzg0mOujP/KxGxk1Cal8T8G0A9vAy4+VaJ79GfbXNXumzgcXT1
pwweAdLkpx029pmMiKicxuCjwpXdmkw0jbrq9jE5am2tugd/nNj68x0RqZmwKmdy1ZPMqaSnyxyi
m7alkT8gwrApXmzMPs7PqFHq6JKiERte/oQR5GqG47yhITFAvE8vi+1cCjqZg+qZmJIgsLUSYb6x
6SWPJYADx5uNAybpo/EfR4VQG4exCoGb1RrFy/LdYWC/sR/fHI0pc6M0Z5A/9cZn5rDyr9VE152K
x6LxrY2VGtXVH1eywKds3AdFUpwsKOnUQXF9oAGbojzPpltIK9aKUBwYAdGcOgyuBmO6TAHO0pHO
x7TEceZdOFqY5PvB2wWtmx8glFuRrZ3svHp7lhsw0iVBe/0P8te7udwHniLIgtivXWHGNjVVm15B
QJ3atf2sp7d5WrKHpJrupAnRCC8MPlXKZ9AJ0zsvQ9HDzaiYzBC/iZlTP1x5NmC8amLzuRDpHuzN
OR+79sLbd/R6CU/VYTbgxqF4UEwACUpakvtQcoLUjvq0i+keSueZvggC9wjaWIxuwEt0wyc1HBsk
yQsC/Fde5DwFWeVgTdCrZ8VXHwubcTfPE3sr6L9h8+Mb5ms297yuVfnRL4N7hhyNBOfdPLObb7hG
CDL0tfo24gjnaLEfRFF/GhY3+UI2x3Xlzj66S5Yc8nG6Q/0rriQMNntSrs+L0/nXusEA7qMtEiPe
X8QM+xD7ZrOFBULsjZc9F3m5nLrZxG2q6vre+PFWAlTQ8BYi1ZkQIUkxZhNscLTWlD73PRNmO5sf
HUcUZx8O07lymXLZA3qjU5cCYwCLU3ncISROExWGvJLVmyMpzclNQnU4hJKNV4rvDSAbCVm7zudw
n8bI9qHx1RUVE42uUA95HJxq1uzf6oI1SjYA9LXHVs3U5q+VPS7Rf/T8oWTeY1ua9+8x6EuWabwh
OaTbKm2vKbMAIpbpjsk5PxD2S4HQePVxtdf2klcBeYpQaaDTstQS5uGOFPRJcy/bHVZ7GN0ebRyI
zz/jxFYjJJhoMGTxPedvOSUWa1dEssL1/BlsMJQyjZ1oQYTFd0JYp7DzRwKBWFOkt+NVAkCSDOMb
W+cbqXx0u9x5cMNB3UmNeWvTBicexbpPXyvXJWf4GygcKKivwYJETy7UdK5eZdmIv43Izlmf/wtD
S1KQCEym1Th/ioXHLC7PRQArRQ7vQ1cqEnQYecCO+WuwVsGUxKfsWKpkJ9jb462gFF4WrOnNsy+E
+5h5Co3E4jfEjJRdpIlXPPiyRni8ZpGueyfADR72KHNZ/uI6arp3+Am8brrn03tJeoQic5TYHm0I
gaZ713Oqb4DI/OCE2y0sZH45XNhD4v0w5TZfxTL8pNy17Ia9p6wvvCtVvExdSxA8BjS2CyRzdD/4
YFi/Wyo8ReCv149Z/6+lNWk9/kfdeS3HjWZb+lUm6h418CbidF8kgERaJpkkRXODoBO893j680Fd
3Yek1OL0zcRMhEJRKhok/P73Xutbvt/tgtQH6K3PIlY/fghJK49TgaJNxMjxKrC+6Wfcu/lgJhdB
0z9H6UxhPAnkd9Pu3KskL7LGwuRiRPIjIpxtKhS7MR2me6BvLg3cmVZQnMBsuA5lC2W+ljTbwmJ8
W5SbwC+zgyjTlZcMsGRRAKWz7LVjQePyamb8dhBBy+g0ajoaiUHOxHBpNOq8cTuwV7W6qM016sB5
fEmFREO0yexUKJd2oWbtSiEKt1mPZSXawc3kLdmA1Zsp7lahBDNcbrt7FuMhqlgyGZWpKrdEkNz7
eZrs8PUUXtU0xRrF24FVPnu9BFHK5HGtDKOk/86QRsi/RVoZEAXFQ4b5AE6wsL2Lg1k6SECIIyqb
Ii0yVpIqy/2yStyZnCOR1kQnmNu4Gqy9AuUYUwkpD2FwLhpNv+mQNSHWyomHyCcAAta85159ygTd
2MVIpjM9EjiExTHz++vW94FH+tyxbTdAyVfzx1nKTRd/bO1P0DAQ3E51JuwEEpZQmxoGR6EpL9LJ
UylYrjKJ02GopJ3EcKVz2jKbKKfBGsTicZwZOnAqDUdJyI0WJO05lzskKhPdOAj8K1EqsJNHJqZd
I7kRKnrmrD3RB5b3Fsl0XsjLWowAWwrE9KwzkyEXDl30guEuT5QXrgvmubT9Y1mdnLbJXS0JDbvp
7kwVdyngJroMfJIVsFqCCbrwu0khIda+dqH3rzKQCTuWkmwD/Bs8UEScl9UgQVZMZC9jcdNBI/Qy
fbpluSasNUxbzsAExQYIjc8XDvZ6GhbBS1MtxZR06IKwdAf07vBcUIerF8pEVOlcyI9gWLG/yNYl
rxfaMGbdeUHL5TZKo4E8Pqn2RvNg4Li7MOWJxmw27SLkiEsVHNuVJiBpoE6CBrgWRTFCXQIz0Qin
B2GIrs1pUVu0ZMtHNFIzFVlHFuiuomfpruVlJ9YzcK8BGPGPV3pqMBDtRHAorb+ZxR9LJspClALf
zIGLKDDymIuMgYuo0ykLJS7XgfaIN2XN82CCl6C/uTOl4kbxSQETe0it9OPppIvBnW6ynILnlt2Y
VCh08ha+SzPJ/ibKlGbflY18FgvUG12LwzlE78CSmmdUwRQlmhr1MGkxrVIMAiOrBWeM4eAAB/hx
2upOZHIiFNdVwW3CrZuwMobXrMcCtzTyqX0RD0QcB/J5Ejl24ggdNkIYhffNVuIut2tOvE1U13wt
RBN+wnBNG6pHNHgxipN6iEv0EUhTwwt0d4wqRHL1hjkU3FAyTwSSLDI6o76tNGVlJP5tWNcXPIcs
FfF2E7HID1nF2KUuIGjVfJ1mMYFqeDyQXWN5t1g2Wcq+TGHVI1+NR9RTSly4U6sJjo+Qy9PmRj80
abLtCY0Qql65qomYsctpN+mx8dKjBtPqR6aD02uGu3ohVYBjotSldmoB8fvwQ8IwO0iJ0K+r+i6q
svboEwZI4IrPi0ZnwJ8qqLCKpNbPxUJlneQWrBRGsgkT49lIMIQS8BAdYFhY0n3ftvmlWIbJJh2l
epFjXnaw468HAyLhPKJZquhSHutobyqzW8Gdf86WOoaEX+IKpGdzYPgksEG0fsJVuzw+YlGqLqp4
aO4MxFEgOyftsg+5UISWkCW5OSdRwGgZIJnth1lwKQTZTojT+3xI8+fIl3d1CgxHHIMrKadpUmoW
mVREWS4Lld9Tin5OdEPOLhkiSREya2bpRzjaO0gR2tLIMDBw2kzyaP4w7w9yi2IpdAGYFTuWookH
8p0HAQKHEvuGX2BKqKdh00r6JiSFyO2tu2kWqSLRXZay6dUdnMkgmiRmb+qFQYDYalgg9Ly/nJbK
+1AiwnDbpuFNW2XDF3tk/pTgYCAk0hVThkNjWaLxGXaXdJYUF7QlJ7G+HmXjJFg4SRh0qgA/7GQ0
aJ7y+t4KRBqlQr7mUR157FplaTGQLLG6sAgH8HNXHmP1KMVoQn0ysN2oo4ffNKB481m5RcOi7BDb
QRkRRsELMlk7BX2/JBEWd+CAG0wU/CWojN+VjKfAFKv5gRzBnbltNaW4arKg3GUK1wG5EtmeOdyj
ibhyx8qECUwFTqVvLRq3wKmDST/VGf5hBcmZkxlqcAyFERysCA6mysTnXk1H9KpIRFMQjpuIT7mT
J3n/41t15bFJzWbbLBHSDEev6mQaL5A6M7UuLP1yxm+iIeI/ZAHqK4lgMuIR3JbVyD7TCuloNLNJ
5DwgdzIBxJPGfGptqjkRSaa8rSaoglOHkvj316XyE3yXswiLT5UhFipLJO5HeFZJzyemRRnZQM8u
W6U2N8GSsoeF5CAEuCJ8MkEPspl7ILTadRty6+eSslAV8Y+rIpQf3hlFj/Y+BSIOG9IceY4mmw7f
/4UPGz+IyKWlcUY40hxCJhwehly9wcPVr6OuDp1R7a4rnhm1Aq9UV1qU/w2cvwZ1njpn7UmUBw8O
oflVCMKvLl/TIAhF1ESobtqny1dvJjWGY7qcbDzylDaFN5dVRwDEpPAG5zE7h/RWjVSlAB0sOt8a
y+Mvjr71EyLX0ICXkZGsSrpMFMpyet49FrBNioMeDCje6oSHTyAAnUV9BMRXvF30TChfD3XaHYyx
Fu/afv6G4wKF2ji+4Rr/hjPcesiM8GWUS91bXHZkpFUYrAdAgFvUhtWqnWXsaXS3EYZnNrgoKFEC
BfgsdN8iuXjSZ7y1BmHaxhKrrRJPg7cT+ymJ20AamM9STK8F0rh57yGaWAK64wHcQN5/H5bobkpe
WLP0bnIV4x9KQAqwrrlAIbRq9Bh3yBCBLRvdapqGLenm67FDpTUvgeHaEh2uLSHiEmni8RIrzkJM
t3Gj36bRw7QEj6tLBHkS48xpLfXODElPWWLKfXHx0DNIa2caURpZ5stJLJZw826JOUdfVtKCxApP
Ano1YxNMeAqQyHEOKB9BpsDkJTWdBh4D45B5NCZwvK7apl4i1juJpRHjYn8JX5dMYthL+VZESzUt
8exZRFhrl4UIg5bw9ly33L4XGgcczBLu+oT0maD3mu5MSPZ7p5H9Qk4j/Xpy4cVIv8HtjWQI0ku0
hDU3ZMgnS5h8u1TzQVAeELYeMIWdM4kwvCYgKBU83L1GJr2xPFmotltIVagGW6pBk+d9ZyLkRBJU
A8DbGQl+e32kDx8vwfdy9lzK4uWyoE7kzgTfg77IV42RS6HH1C7ou1nOL+PanBj7DBtt1p/EGqJP
0JenwSDots6/qWL1EAk47sYBirCCyj/oBrLeNbYr4+JBtlueZOgcMyvhBhcD9JrchjN73YwS2jkZ
ge4oXVRZNqLsDLM1K9GxMzi0+uQRElCuLcbkrQnJdVQhAvRaxQC5o087kEiCXwNST5GFtceAFTU1
8HfeMa15KuJbrS4zL+tIjqH16GYtSuWu4rOZVjGfWYrNZ1PFjzulcbwDzYw2MrzJ4aJvyhKVVimI
/r6SOZ8j3ac1uouCjG9/hOMoQxWKEm8OemuPz1S4kGWc2epQbEvdyo6BP2fHPr6KS9nYcdGL+7ZQ
AEBICnWqnnB5tiM9jTyi+ZKGCVMXTZa3miQHF1bIZZ+o5X0sgXkYClqhnWYvj1GLlxRQUJ2zyvI7
LZBcleqi/QLUuljtKPMGTHKxdSpZTp7C3rguGjQA/qQju17UFGKiM3JLm5OlIhSIEMW4uaLm+yhQ
bxRpCE9ymH3vp8zcmimFWdDmp5awLzqQoa1N8kXShaUXCzpwFi3MPUlCFBEBRdhio13c2Ui8LeCw
uk9yaY7ignnbcUpFOM+MJteMJnXXVPpXbPzIbnKaSSQEyOS4vfVZj9ilUwllVBvdXJuIDKScCASS
4/V+JY9Tv88BGEAgwG7QsYKQIloqJFOeG5NWxRjqB1lezFYosWw9kx+HTlOOQEduhSE1d3mUIvUK
QGtloVpv0V625biVmW9yKVBUtP3UbkyTUgjhTEDObP446jWZISj2YCTQ8MlmP7rMa6ZvfqRIB9zo
ptbpzB5VoPJZ9r3plGgbpUJpm357GSusx1BksEDT5xus8PU+RwWMuXLsH+JibaA7Sv1+uix9HTl3
rGEUTNt4Hw3ttEq6arwSzcBtEU5cA8no6jg98na4hbDYXDbVfJ5hEvFEbLdCMbMWxmSyuM45gqaf
HaO+fKCuACMaaaljiMF13caPc1HAcVQelWU8Rr8WV0NYOnmsc8KGGEhCVBNU0kspTSLawD+gkGUy
HsuSmiUhgGlk4ukajQkEsCru2kpqrmC07aeayzfXw9iJRzq3BGfkdjfmyTYqmN2iXASkLWh0owpe
KyJEEm+eiDXrdRxpKPDDOwzXrqGBJBdHxdo0Jb3zvgT4lOvxXa5niitUBlc0LIkoRq8B6DN0c5l+
tzCgiswrM7upljjypdX6+/fv8o7/gCdd3r6KynLIQuxGVvvHt+/QmhPBwn2MiBuMSUMgHQDrdMAT
UksbbEtXekQJ9GOb//sDcL75+3/x75einJgzhu2nf/79psj481/Lz/zrez7+xN+9t+LiKXtrfvtN
x+ilLprie/v5uz78Zrb+16dzntqnD/9w8zZqp6vurZ7O4J3S9senAJy/fOf/6Rf/19uP33IzlW9/
++Ol6PJ2+W1BVOR//PWl7evf/rAowP4VSrj8+r++tuzl3/7wIjp17VtdP33+mbenpv3bH4L2p6IY
mmkxpuakwSqkkhre/vklXSc6cwlhxehgiJzGvKjb8G9/KPqf1HamIiomRE3RMIkgaIrun18ipVkX
qf5MEvFU6Y9/7vzlP66Rf5y1X6cISKBmP1xMGl5E1NXi8gmJPAAv/wlD688Byoay+C5Jq3A7b8ub
7Czd8+6xAGpioHB09zXZZbvQng8SL6lV4Q0emap7az+9aYf+td2Wl81FfpNuhVP6Gr8ifd2kNzMp
gi/DN0aH1VPjina+BQPmWhvZLrfBRnWt/bztX+krc0tXdrBLneqq2ulP4aX6PdoUR+0gPxFSxKpS
4jH7rb5pD81OWDeudWqddI2jykZU/E2+Kg+D61/FW0IXzyjY3PRycqurOlzBuDJvsKhhfrOtdX4q
roZb1ER8pbmaD6Y3Hrpv7bY6CyflRd4BeloPXnvQveRCW5MZ47Qb1FU7Y40z+3t8Wez4lBeoNDb+
t+wsWCvrxfyOfCwwnRCVwYa5DLJQVMJp46A8RS5v0zuqT9Za24i3wXiqdqV1+dwdo13Grw0uwstp
Z52mbxzCA/vwXXaxam1ph++oJF0EICdjZazKdXrt38hbsFx2aDf2DQpKN3PLA8FeBxyqtrimT3Pj
7/I1cTe26rSrzBvecn9dd254j/VpJ61xYbjtpjv6V3XMkmHvPxqbxFOvZ4qxqzDlnbny1xEgO7ts
7Uh3lhQavj88LhSY51TaKzyF99oWWokNfIuVKz7fAwVnZpsP7fWUwwXHz77S7ucDXcSrcl95CWXp
ttqgjLRj9qtdpRyWeAt0dZ1tCg/P5y6/aR6Fi+xoXrKFO/zuQKbccAsd1eSwJ17kgY0/K5uKUdkr
2i3hLtn3p8HDQXGErNLfWWf0GHcYtK7rE71T8kGYs6h4vPmg2krYiBfRWnJFp/Tg4qy7J9y3uza3
HYs86710Eq65PntEhfkpyjbGWloVR37eoUJcBWt9T9gTmCDOiId176FZQea96i/BPNGqV8h1QzVh
6864CTs0iY50M/rrkDVHhvjOLg/9moIcYeoz7U2n8kKn5XF9vMzsFUXhOV7Pq3RtbNLXdXuDsUn/
hkkwiI+DyWF6LFC/rUwXrIbduLIroF7iU1SP2XHe5+v2RCEWYEnjV7zGXEaiPW5poKrSSa8o0ZhD
22MArGQt6fdQALmTvwsyYnnrO/h9GA66Zo/KZlSO7erypVkbuDTdfFM5quM39Pts5ba/mq61W4Tx
GNbKbM//06B2Tijn7Oalc8LVeJu6iII3dUELjHAmNNa2mB6yysl7Ji/tKodnR8fU2jGEbaeN+DKq
iAS4dEXX97D4MfrdzXc55b61C9zKkQDn7fwXus2XtFHwCug9e7GrtrmbGE/pLjppNxWyK50e87V/
Qc6xi39plx9Ur10r4pt2W7nLu/DUXVM8GDZppM2pP8IQSFbzUfumrmE82amjs6DgabQupDVRWIxc
cDOUK6Y/JBUg0ASUvWVhSI2tJSRK36glKY6ecoPK7IRB4VYkUAtmQ3HV9+ihYNfALjRW8bG4VF+x
XOnuuIbhLu8wCLLmM9Jj+hRdC1sdYfua7krljd8FZ7LFyr2jA45KGefnleByT29DcJGN2ypPHF/x
Hu6ZrN7pwJDs7K2s7wQXyVHildjoGX5hNdRdDIwKtM3nAcGgvgHRkEZoCOEcrpqH0cYq4w7nykbq
KSFP3isSCeUs5FZcEERTUrwm0t2UaQhoH6FjSEh6Byf1X/wIg/laue7mTRYScbxq+53sJt90vudB
3ZMtkN9W2Ta76+6iWVuBXjY3kGKQYA6eeKxN3X40oKbhe/0Ge1bXv7XJ2hLvGozXG9S5IgCmyGUZ
KLJiv+8slDUekcXJdrKeONbTNY4pczNcD9fGN64pBHE2zagzSi6k1rgP6117lTjXxlbS7I4RA1ME
xg+voXkIrKsAidldc0dUAlK5NQPjTljHq9brBHujdE5+K1ya52bzajlI+zPRgZhTHgX1yTgiYrK7
++rUQWtCp+oPRyk4Q0c7ka+D3yl/NLrbDjg4Xn5PRqdXQJoeX2J7UYSukI5s0a3YrROdB3dydR99
2ZHgJi7kG37PfWqHV6GhrQpsSCxXHSHc1W5XHmXrqD9nK36tE9MmhQC05bGBw5i69U6JyAv2Kr13
IXUUDJBIbjwOmerweMuqldE7wrcUdemDpa5gjMnU1/difi+d6vZRCrZGa3fBofmuMBKpyhetvrXo
ze2JIATLIXoOcPkVN1Xn9KN927vu8JKh/GP9zZ24Qpyj3gXza3+U0nZVlvhieE665RFVDs928HJE
U/NcTfjCFcFPqD2nZbiMcu2SF1a+0l+AIM4ma/BIXetJdsdcYDiCHE6ufeIgsNb0bk6hvIp3tDSc
0q6ezbN5YWBzc9ojPMQGnuQzf7XHdDcd/JNmI1x9RkK6ZVOc1NLW3fRg0nEFv7UptzovF/Ux3HbP
KIqHffesXA4bda+pyPlXIzany+IAzqG6H7RLaaM7nSOv2dcBDsraGD3+YyEpbOBt+CEXGr4ceEas
tCPSAlE/bTTTNRKPyWYc7fzZ6YpNq90Nsh28dqC5HHx5hgBNa0cPOxnXheHtwh0XGVdzf1SJfGTe
vomcJ3NDx0Aq1iwlB33HgkwsdqwAx9Z5FenCqP9o1P3fKtr/HyzHpSVx+d/X4xiTn97St/fF+I+f
+Ec1rmh/6iazfUvVzaV1Se38VzGuqH/KuqES8iHpimaoMlXwP2tx5U/SKAhp0wyRBDqyz/5Vi8vW
n4TM0ACliJd0oMvyf1SLL5X2+2WdxtRyKcB1AiAtkw1+XNYFaNayTlF5eHDvSl5yJk14M0+wmFzl
u/Yk3kXP747NX6uB9xlin2p/QDMisn2JDCL0gSCqlmXG+zZu2SaJLydQpvFbOuJTfUJdfBTewE5s
KQm4Q8FR/X6Tn3MFl0A1SQSNhHaafpX+aR8J11IkMFWjjQi2QYaGjaWxpsX65EtfBLdKn1vlGh4b
rEkwoVlbLf/1ce/qVm418hHw5HnGvUKllu7JxzoxaPxiPS79fOY0Q1It3bAQchqG/mlB3qKHixUB
eoN/lNbletwE287xVzw0HRyjq98fwo8LtuWkaYZmMY4TRcL2ZPXTIUTTMzdBnY62JjB/MvRtnX37
/Rakn8/Sx018au/7ozqoxJyPHDlljUaeel3aGO6863e9G9j6Zth/NdGRlmP08er/uM2l6fFupCAO
Vh6HJtvECY33woHmebWscDDqTA6ZYo7hfLGXn9sonw/kMuR4t8V2UFKxlZfK1etcHXMoZnFs5K8I
KZx6b15LpKzpZ8oEboQvd/dzKM/njX8KweukZYIV0Fnu19I62jfe4EpOZSOJe25ddY0EehNtYdvb
pQd24os9/8WdYegk0ihLDJlBdsLHPffDXk2wCS3nd3SADHnmFnrENt01X9zuP+Zwn8/q+y192k0Z
RQ2EDgLRB54wbAmvh01P1ndkl8U4DmObhFaqfyZzHWb6VeoVTnqF1Bsm/1c3zi8vsXcfRl8Oy7sT
3se1HCc9H6ahSpNwlGOP8UqX/ilCLY60ndvxF4+Gz3PK5TTzbrB+5Apq5ueswzxTfEzZcIuwN+zD
ZXDSu9zauP/KL2IVf3VBvdvSj6fhu52DXjczRmDnEM1saANyRmkLel+d0V+8M3Q2Q98IjT1XkPXp
WWeNcp8OPm8p82h64GU5hRhW99TQawawrnX55X368zH8uMVPs94BrGYa8EDitC2eZzh+2Py5RzOb
5v6V9ogKSGHYtoLF8cXl+4sH4cdNf3rWho3Vjrw4l02DHXML0Jluc0+C8qH2SAe+U730KG1/f3fS
GeQ6/HjTfNzqp8dvGQB+gCMJhRWbluqUtZ98lyGJnAFpTveLP5VUURDIsOvMmFDkLLHKs0rT+glm
eCN5hJqY4aoVrO6yThHyirUpXUSC2j9b4dRv5VLrN1rTBg5mllFxZmZza9IXLWOVA7nZFJre7DAd
wKRPy7bAcKRBJ0rhhD3MoZ4UTog+rnTSrILv3ittI7s+PrBi3SdtuYmnqnkAncQyz7JahKwKOSKA
9nyoa5WUeKRoa5shHsLLIsBm3cP5YuID6EGSCYrB9t5sK3Fqn6Lcp50WSSFoj8g00z25ceKuH4ri
gM1Mq71iiFG5ldmovdSjADsjkgCXYUBiiLRqMpHFRKcZZQO2FhnBCp9w1xGkUkinBPHDsmj2h/6t
bDrItJ2ilLTVhBqTGBLaYgumK5c27AXZYgXaXcIV0MkUlz00YK69soPDFYEVibyIZNJ0K1VIMcgZ
p+85xe20a1o0V4FPK0juyw5NRc9Try3Q+c54gVnoWPAF2tjK72XEvw8DTnHOWDQVreMHoYb5Eoft
HdSz+jJSFxtQLY6UZZ2uvqBZHZoVwNPsHM/wAhACDvWdqXQM4VPIfZy63L/JTBD79GzIbQObO+vn
jAzaUyekjOmAGBNDBE9CFwbjLiXjaG0EWHAa4ipv4pY9xdA9vfVBgi2stQz43oVCKSOkxWBrcVnS
qyszgB26/EBMunUw0FycM6AfTEzUKb6xmrpc5zMH0hniWH0Yo56OaaC++UEByM4vMs8UJn3dyMJ8
AufeXoWiCTI5ieHNDnMTkzuDKusgtEJ0LVrRQytAXFNzyXJxJYEeL/xXBDbFkQhW7cpXmI5WKo2Z
UqHhrE1pce79GogaMXUwchVG2Sq+drf1NWmFnbG064wkGxmQbmrGHuU49IdFHosrlqVljx1bVdtv
ljTQ4M1w0g61j4JOYShaD0a6kuvwLu6N1w6bK3baZN90fezoTXgRpdjSoWIqRNZ115Mm3PQpoNqE
ITEsAQWlQV8Vu97EwUOcqrVNKrDOcR7qq6qjQVDiRnSY94CnleGKiNV8pzYo3ct5FuxCM5/DoOR+
nbDD4Z8GVz83z0k8v+RdlHBP4YME0WIgikc5UGnWTQGQNi6tG+5Dhqyi/BBrDTEC3dysJs6tW0pY
I6Go5CtLE3cSNlAEtUNHTE3EsrrFX9ZKaN60wAS0FQTPciO81Z0xckNGAhdXoLiklY03yODo90bR
LZEdnWvwuPGSDt7JSD6Jk8DK9HpUyFile//QMnZeFW0lLwbQbEPkGq3JzIIa3tNGLq08Opqy30I6
r6oztNFyr6VDshYNGidgacj7E5tsHSotZhqI9XKlFRf6MNV3HdQzZusRDfgkug+jeLDTMsX2b2RC
4k65+KgkTb1uZ0RZuM4U2U60cIYap2lOGAzlS1x3HaiLWG/wmIyS8tpVAF/gf9dM9WlrBoHxMCkF
WvjEZ4rKhNSBsjls5DmYX1IVUVAUYdCfWsiOYAuaQ9K23+cJGLqkqvFxzIkJz7ogoyumoUrI9XYn
gcVwlQa6qCmOTLTxCHrQ4KeLRk+6Tdbq6bFTTOTZyzWy8yvDf0Vu4CMmFFCwKeCj7uSx6OhFIxCB
ExE3bpeK4zYUw1uryXggpImxGRHuwQGPgQuQVlPBXxCJjuAXr8Ra+z5LBaPakM+bMiam9jKvM849
bKNmGAl5ESxduQgqwCzlEkdRQYMKXTjj+l0GTGgvE/a612b0OHCKsSBbYopOOSaoNYgqqFc4Bucg
NVaNMFVbFUbIijHlkt6EuRbnQbQH5Bc9lrGZH7oW5L9HtHZ4NctAqDchToLWAqHHrQNooGmnF6Jp
EzzocPWvZmAtdIrk3qrfIk4HPWPjUup5mWn8ih04QkwHEqzdHAiAjYaBft8k11CcIu1+8rvuok8K
yZFl2HNpqibTzWCh5nXlUGFIlPuwn32R4BazVypUpa0sr7Tc1F8sgj1KpIwpKRixNMzKSRnkgJAR
BXSXnQXzuOu1SIzPVZlPx2oSZJBiMtlW+K54i4e7RBZzbPMxPOLCkwSY14DIzQB7K3R3zY61yDpn
lZIzKZFDLfyGblDl6ST3nYiLWmJgyIyIlFjZ0csKLHqozgophFkPCEc3+9iNIXZ+FSP6yyqM1Sdg
VUWSaRp8LJ7VJh7GwLBgFItOd8FoHwwevpov9G0/L24pfVhGo6ExTMacnwqutNPaAeEZARPC3Whc
V+0XTYGfV7Y6aYMGCgrS4kTrxxLhXZXcKGKF8IAGbdpCKBcg7dP1Dr8oG7/ayKeCdREgavlyqELf
p5cItVaDGVo9/r5O/EXXgX2RDRQ4nBBd/JHI+G5fAPeBhMNGShe6va+3nbcsHuUTuY/beGe6v9/a
r2pSTVWWgTVtMNP4tE9yPiOonhcAYWp8H+ruFE/pNVcusqTspBry2+8398tlxvvtLcf43c61UzEH
WcXkifUimE9Wjul1v5GuTGp9CWLZgQGz8/tt/ryC4sH7bhc/ld34/yeMmBE2Eje76Lx+Q5P+oG6+
XEH9vPr+uJ1PnQ5fKsE3puya6sm2sGqOhrus1cT9V+fsl8uX93v0aZ0fpqJFf4OTNlPrGVhbbOI8
7HFP6SAxcS9W4r1CY11wvlr2/uo21iVkwQah1pIufr5a6iAfSVMHRwW5Vngxhpvfn6pf/n6D5xyR
3AZdvk8Po3yoy1Egs9wuR7Dd3ZOGifb3W/hFs0DXWeTSibUkSaH7+/EC7CmwEr0eCT5YA4hwE2y5
tuU2juDVXn6rPXzVnfj1Lv3P9j6dq4zXTTvM7FJA4ZJY52G4/2KPfvUEf79Hnw5aMhJMDkd0ue6Y
ISHNYtIRsnhnRMjgsbL9F4YXa981Y/vLDumvHh/vtv259ZL100hTsRbt2ukduB6MkUxnCLfYbD3N
m11YmETr3oVu7H2x1z/3ZnnnSRrQJZM4Z+vzeRyxn7YGMQp2fgAqvOqOjFJtuiSO5Ma78IvX1y+v
mvdb+3QWoXhGAWEYiJ29/kCcwLOKo9lpnGrr7wFZMSw2Dj928D+a8fxbQdUHpdapfMuv2/rtrT0+
lf8fSK9MbpF/P+pZ10/5S/T0ftSz/MA/Jj3WnxrmDjrySOQsHX4A5+FfsiuSRHGzGCjoSYZB9P+v
UY8m/SmaokhTVJM0ibEB19JfsitV+lPhrcf4iDegohq6/h+Nej5WCJpqqKrJUEKXdZUhBZXOx4fL
EsdeI48VVynpWxvmITAoWrSFdS+HhyFqwddoNZKmzuivC9BnQ/6oxIPACLjVIELO83QBoHA4FDMD
+HdH8VdDoZ8+G28MmeYwpQUPbro+Hz+bmAkoFosGRl+GNDfoyKnUmFRW4SReFYhiimhCyRwPSuzl
QEugQfTCJq9xt1oTKtheBEv3w8cTxKAKfv/hlvP2rjXGodLoVmPK4vQuf4xP3cei0qIC/EpHChhs
SrVRNLIye6AhOTHx08PQirQ2FCtzk3JkclYKKu568ODabV/2ZMnUT2U6qmvBzKRDre0ozJTbgthD
2FMVmLYqJjBwyVMey5rs0SHs3DlFlBNNYuOlKMkMgbmtwoLKE0xh289YRLHR0qyWSuvwQ6r84y/L
CiDio++Dd1xpXxyEZeT56SDwSrJYr2uqqvBc+zTYUgr4+i29QYiZy6bFQNwqhTMOc3EXGoVxUWM5
Y0FzI1uBcmvG0h6WobkVYbBvf+xN1ojRsV2yrpOYTF4tlM6/P03ax4cup0mXVW4TSZW5mSxD58Z8
X71Fnc4KsEYfN/UaK6gh6kAiQXjD5D4fC7lW16VhkoaBxfRHFHaWou/tNQLOMJTBLk9xh1U45i/o
cCHRhYXqjGM3gUWatGva6M9WrZ8gs1yqdQQW0JoI0hDSSwUA9dlSiDMbMlhFcUxfZw6a0+CPmm0h
Oo6bVLRDOUcZEc/JRRnFyi38Q3gIBuGmXStvcRjXB4lctkBJpecqnG+bMO9PLRlVdNSita9gqiwX
L5iVWCHiQhJbAAI4jdJlN0o3z6cvDuVPV7zOMeRIMp5l0Kx8duCpo1pkg16A1gtrwsXS9txoEcEG
iJiLmQBEkqEvwVzll3UdKis1KQLix5rvYuUPp04nAxqNNCkxVsw0t7bOJRahY6Zbj/ysTuTxVB8T
I3wu4EEdpbEhqLKvaDwPqDkKUxWOBSTd/zkdg8IhsuI0h7E8htjn2hJmEVWyivjTHw5KGGmXQe2S
wVxcaKMKAdG/yVk/P8wGa/CuwXA1s2pfD6UMw8NEJ5XkYKSE5mzoNaqqMcfKll1Hs2iRsB6VF2GT
v1opejNzlHaBhqbli+MLhvDD7YT0VsfLhABXZ0ijKQxVP16smUmre9QWgRMtNAfeKZDB1roYR/mq
ShQyUiT6ZdmkyR4LLseXIe8I84Wf0F8N2kNUqMDZkBUcoAE8mplla7AnjyVdaUONjhg4ZVstDNoe
AJEI4zCOaSPj95HggKInf64DoJ60WwEQhPL3cLmRaX48jAOCd2Pu9qST4T/GZplQ9ZJcOIE6LK36
oENlU0LYUH6M5IXvOhSkFe67tLsJBdDqtQiQrtDOZmze9uh65ER4rMRZ35SFbDpjHd/WrUiAYbVT
OhfcxX8TdV7NbSPbGv1FqEJopFcSBDNFUtkvKMm2kGOjkX79WfTcqvuiY8+ZsSWS6LD3t9dKNrZt
WgT3uPs0G3ucQYY/xq+S7u7q+TlNIKUawj0KaTJyjOBEyHtSjrfGB9I+L+0JpjeeeUqfVu59M7jC
W8YNMYnfNazzBrhKrWiwrDNuBcXoFaDis2sgpmbkhvZZtC4eAeRFqTV90VvpDF/1fJcl4a2FZVfm
xvRUJj8D+JQ3g6QtM6mMzQv7iPz86mlatqfh4K+bAQPJmKJeHsAanbuqn8KksHLcObICgXg2dS+7
2/nTxKztco0eVJjSsPGcI9poNkbFN8EqQERLS91153hYNBgwYcJtrK+mHm8bT/saS8Dmspuf8nw2
n7Km+r8vtkkKrrLdJwTY9Q778fJh+g10EvUYF8TXKCiEgSkS8V0m2bhRftI8uXOcba3WQH9QS39X
tdXVtg1vy5xIurVVE10Zw0Zajd7k3UiWH5hh3p8RpYhRhOAxzIvUjOTp3xe/j+jnzrzKMfFjy6DY
OlC9tlYOUuANfwDSPXxOvMxzUl9qwtcNqmQ4Ve9NjcCRCFmzz6c5/tNExWfmq/oX3pQRLXQt3qIy
pTMPSPuZGm5gVqlzAoYkLzpASBwf5YvsNMwWjW+e3OhgFMJ9gcjzKVQzXSjJma+l7UFaIUDtT8O1
13r1kg7wgZ1WvOctUOC4X8I2tdotNVf5qrn+GyNtLlHRBdRumyTXhf2ehpJ9A/BN04CyYA9G4NIq
IIlMzPqB0+Ublk9v7w+Lh77NpsiTItRZPCsJ1dyYjJsAiUz4DL2KKP6aXLP+haX0hnQhu1oWjhiI
Tv6hrpSxEX338+93MoMP9N//ARQlqkZxWHSAFfAOYMr/98XULq0Vlwlrhy0YgOcZb9MmPRRudaPr
cjXzsnqKTeBkrWB8ra0S/92PLsXE7KTe9NEGSt2htv3+qZeOA1CLNgsatzm0KG7ywZ5iUJL4+tZM
GXin/77YjgeyGwL3Wg01V/tW9ef//yLNKN8NgNahxPHmDDLaxmY+QjbTHWQCJiDaKjEP2tBGJ9wt
VugXYiDcaZwAdeu3TOcHNONGwY9T0Z563Vtq3LS0/+uWcF+nNL9VlNyf3BIBJTxHgKwJqI7WML8c
3CFTMnynrccYfb/YMhQ8ANvO0pnsboQN+o1mwuN3VaKioBHzdFWWHWrZIG+elRqn7IEu4Y+/9a04
yrTv92mO5gnKRRzmDIcGnarNneFnP7I0zccBhxpta7/XafLczPq0roSYP5pFN9ZgRmyous7jlKQr
uS27vj8MRk7l3RuIJZdlUGkU0Vb2Mt5lNnEV7klHwmjVCr/51Pvxr9HJ739gtn9ADMPGBqoxDH9o
PT54tMHMG0DGQzN1PWP7sHOcbkuPnBl+LdBl79+LuLkzzNZuUr/ur0Os99duTnh5I3gQNAD9Q9pn
cdjEJAxFZtC9q6v1Mpe/azbh05SBRTTHaENQkAHTktCwInY8pOkHg4rVWgMqPgm3fCDa4uSjQPrx
K+ysvnqxh17fLFZN9v/x27wkkl8vnnv35/Qv1Y3uib761iineO8l4lkfmvn474tipHpr1G3xZvX+
ElQ0DuFQFJBUVSeB5vrtVviE/gfsZ2QtxQPFmiYQKL3oS/doyi1az0nPeYSqtUpsnLHCQDRzpJo7
MdxNd67R/PXNY056uEOaLsnuFu/Dv5lJTam7i0shoOsJRHdAXziIpN0vkW4f50e/rc1KvG0cPo9j
N+CxTNiufXwnRxrcCIS0xy///f7frzywtyvPyKm8q/jKVG8a/PvRIroIp068d1Y7fBmZ7CG7E4Hh
LR3jzjzZjShhQBLlLDm8BJFnmDtg09OVp8PfJjlx6c6YtLCxFk6rbEZhmUEOjop5PCGt6sC/zthP
H2dPsgsrrzDnFc/xhlqceeak021hxb61UeXeYCC5NzAv9mOn+/Pv59TjZq8yr7y6bCRrFxnL2k/d
7rYMeRmINtkagN837dhYrwleFbg7avPf+OR4MA3o2GmBHq91aakwP8iiv8AAbssa83zFAgs1Hz5s
Ur1ELSJ5I30MkjEhH2I1ZsoiiUk0O1b7TD9ipvJ812h6BPOmZG1fZbJjIqpNXpaONrzJ25ktS78t
PR+qRebdmgm7cqaP1R5bMkf4xVJb0HKXrtGbW+/FR+kodUpLZ7NkcfNZDjmQpY1lDq9z1XgHARk5
7D27DOu6ZSf2rOLiLo/GqNZUYdLPzz7XBWxZsr7H1d++gbeYi6UKzGkqrp3ZNIQZdPms2Un6AEL/
0QEAhf/+9bIz00PMcN+qk+M3k7fpqUU08AyN8lc9p8PJ79PuWZVxaHk+yFxBSld59Q2yC4OuY/YX
istjEvQpyxZmAXqiCWToK3aVBiTM7yUz/1hjnbxYNsb0RIh13Cr7AOr+0g0M47lG451dMCinLmfr
4gJSxEkbxqP7mWY9GWv6+SvgIFcw48xGNbqxYjBxW1jdXbCRHjiijBe8TfTjh/yk+w0tekRKSZMi
esktzH3PWMizRPwSUxbvR9Pj7wSeQ+yhT8PBo0Wl/HXt1pdywsCVlWV6RqVqorg5wwPPX+d+OEsG
GyT9KOoNcmGxYOo90mvoi/lbBkPzREH3EVJgENWW5jMU+TeLT/2R125YitCZ4MpkRX9sMT0empGm
ZegOYBoB/Z2trK8RuMF9mxZiKPw5cTxsfFhG4IIK3jXGvyfi+n07rBnTxwmqnWdH2/g6d0JXlQOT
rW62SfsJlFMzPzkeB2Z8S0GlZ0BylQgZsq52kjmVHNBLOAGxs3zUIL7yoZvF91QZsMp9jUNspXFM
M7VjY3nTtq6fdGZUvEbGt8ItyTe0jGEY3GEs9TzFQ81n60fLdAvA9iHSE4BUSO9qDnekZ/TAX1p2
gRxEEDSiX3pO188qtxodZFHfKQIg+9PpNJs134pKxlu7yJCJ5+aIEyTszcg7OOnjzKZv/YTR8gSY
BFcRdsMOU1l3bBl336R20HGdDyoa9SClo2cHiM5OW5i7b8iLOL76ZVe+u7bL4q+a8TQ6dQrLp1h3
k6pQVsbtyocn3XSoHHukQFPxZ/GbQIsT/VRZy0vChO6upTkPP4g1DErDLp2Lk5pprpZ8LN2ZTzsM
A4dxlfHFQLe6sf1Pl71l1aUNxVxXeDtEL+8Zmo714JNOyBOOMXnnkpz41Vk++jJasuyHn9ysWSUZ
WRlSuvhLMf/155x0IHXvUjfe7NIdmQSCEUgn/Kx078ZArRaYFqYYtN7nOPdB/xqvbm/FwVjb0RZh
zVNmuPaG2aAfxSKySUyA62PHaW02PivLJCQms4901h6eG1uFM2JEy9OiUERTEVRiOSCJY1iLZ/U0
F+NV5r9HSLZ4fsqnOf/W9IxhQTBzzyURAv0Vn6cFUnRiqIPxkwoTbKjToAf7u5zOEQqRKWq9QIFC
WInKeQKkwOTBwy8isuXb82AjOC3z4K30AieN7cNkVJu5wTNXFFyhcuhEjZ2HQ9JO+Autu4FhxMoZ
OZsL63F+xyTPj7QfEyNfV03noluq9EuWe2dpNC82pMLQaa2L3aj2gP1rpQY+zlY3Mdw3YEaqDCqN
iMLjuJ9OLku97rTQjtAFjfP8NwMdYMb2tBcAbNd6U7KJ+B1GxRYOBIdJQs71nirfa1qK6wx8APMa
hJSq9v9m87hScwuaC3LNtnpxzQLxT2/+IvEDPKdFfBVlLKcx/hUloWzMhndo0CAj/HF3+jL6EJNi
h7C7eyyW5iWGs1xCmF83lvROfgl7ASsh3QMbErjTHcpyACoNhBEOr//sDynMY13egdyMWEaA33rl
N5BrAfDQQwGSULaD3bzS/ZyBDe5EGYG11ai7vPkZDwnSJIrCWjh6DEORtknXPsvRyiLotDLYvJ04
umdDuhydtiVi1Ey7bmD9TxR4O9fXvqq4wmLBtKBvQ+spJBmX0h8XRGDVT0ptIWh0uz72E8rT3DvV
WrGwG1jHKBbRrWqcG4cq3dTqL094t4kbnFkX70vt3jIJFsSa7Diw3Q76mMdpxIMOv4ALOsuCQmwp
CxIOI5ephVkqeMQUA3vjlAzt79of2RofIZYJ/omhFA3iqMNzPiFeSeGinx3fGzccg6za7wOvVA2H
ZVhBST/9bnXBdOPQ7nM3lsHSMHkkvYudlcSkhuqPbtj3eH6IEhaO2I4VA0yvS+pCfOdrYlaC43cw
WZh8+IRIMCi8rEnE+Bz5vVouLBEVxH8vK/fDox6Bww6wao9GET9nQDgAwX3VgleK9N2SI6ogArGf
R94zu5uNnYWhFDasuRJ0GtF12p8UBeqVufySxpRjtiuYSoq1fWGiOiYJtY9lBMZMLGpTLeWusaP8
XiFAadQ7wa94XY61DL3FvkFApqrDOW49mQ9Lo4msYLIxXxC0YG1k6iwfY8CPiZwZuKQQYYIKYUqN
16CUJYVv+A8b86EUqllLq0QM6wI1SaURz4ExxDQzyOKk5IrO9TkAX9KBSel4D+b0o9ORoQzNd4/u
cKU0M3QGIuhWAl6t4YQ+TUu51yy59/zxc0AEEtt/57TERqXWNb44xyv2dQfBNnKeUf5whRmzaW0M
xl5YoO0bZo7aBHCzson8kfSy68f0nychw3J+hXq+HnFVAPr0Iwwx9KYpLNzdZr6Bk+QIm6OeLx2W
BLPKbAiJrGVjuklUdo5FO62TPAKtPFJit1u2Ik9Hu50xFgVfxFrHkr3b0fp9LrmzNLBD1pzvJR9s
lQcGAG696pBmzRFU3sjeG1QBHVR5MORhTnqEbx5mr8ZOitfRcMNOLjBjCqvZ6kmb00Vk1Bu4n4Fb
6dzJrWkg1hpLXvWp9JnrlPJIacg5UxbuBhZSvAl1aOdUg4XeHHovSTeuMb3PPht8U/HagXdaEbrC
sIAwd27cNACWx5ZiAroV2RjoAPQ3ncHJiJDbvLE51o5EEsAFe6FREJwyRY22LmVGtHh8KjGlThvv
YY4uh6Mwi19VKvuwrlCCChuzW9GKcwIHrhzoOXjOcz8bIhQYnXng1t2CuMyUyyaxHwsaRXPBnOto
eQMhRsgS2btjJ9+65irSZ/1LyXhsr9q3pFIRsKOqwSo7BfbMO2wvrrGL6zUcaubttegs2B9CL5p2
Xg+uUlSkAmYbQ3Jm698mpa/gYX3aSOdxrNMpcyOafu6HKORw6qDk8bVz3nN3wEmsr6rCg9Xt5Ztu
7Je1nT7Q6+kcCFYHFv+YuxYMjshEMyddHBv9VCFcAdLvZearlkQuSeNF4+jmVmcoySDDKjMwNFWz
AbnaYUhY4zxh8AzN6ignoIeEbh80JxcVscWeWqb0sTOZr/mc6mGu899owyvq3f6QxDxX9mJsEK5h
qSq56rbDivMsqkL++51MOcvnY8UbnA2HGl/qauFYfZJlfZHYtFjSLaBfFn/7UmvLxp5wIOnAAOyR
cqBgaR9dTAc99LiShW9c2Al7e9dYFHCaZoKgkEj+hh7IC3Am0aC89car3lBdianpUomxb3KenhIv
P6SYJLjsmO2G8+YcadvCTJi2z8XZidSRJoHNkpYzr5E2SJdEikGHzlRoOAsWBTeBRta++Ia3UE9j
L+Gj1CL2pZnWBS1ylTX3PSgKVs3losOh3Xmxc6gKp173eUzEpvOqo9Es1dF2ibGqmAWwG33IaqLb
jarvOMKowIhcrmLE8zbkjzxgAZ0fwmwnSpgVsIraz5b35zxZak+8ch9pAMpSzKXniaASCJ/s0IGC
jo32s5+6+WCApVs1TslDr+O81YwD18j5DUyNHbiNYa1trpeRYgGGOQsJG+XmLrfrJBRA64h2boge
GxcTrEvtg+jsnEWt6CVdJ+eaL0zuKtn/xM4EodhJLrbJNJY9fmt2d+FyEKCX4th7IQEC7nSov6Ru
qE3nWRcOGpge6hAneaLEh2ybLzcH0DiFDjx33N4boue/p5l/ZBXlDh7U3lPjXs2s1A4z7K39m9PY
PefuycY+FM7fSO4SOgOfDR9wiaDIi4c3aUcgyGP31BJ04qTADwkp64UWj7FyJXyfcW6RIKGmKiL3
M5tzd9UZ3I/t7K8qs/vcmidQpzhOLk1kb4a5oKzsPyw6A3RqapPO72YU33KA3ujGkB+MqKZeW93n
3+7E81QW07tRzgxwePpLL7m22PPenAuDUA1hfdL4iIQXQGMlP2buG38SQdjGN14ogfG5Yx0fsGbG
YwQdAjrWJnH4JrM5CUbJJtS3TjDPCjS120QBRZM215GN4OSz9ceDkT6J61BXzSGKahiHQIcAgRYv
PWpPrbxlUcPJduyYVfeRwWbeYO+jVn8u8uoNJTul5Km5dMia1p2XPnQXXCuU1hFyFlIEcdT/ztv+
zU2Zr6LI9Nj8BOvKwGgyHidMjLvEwLJOtMhiIxnooRgWMkatwGVq1wcUDqT+B+PHTx3jUXBhPvFB
mpMhssKdJBRE+wvVihQuiSqOfgwZQ0WC9LJKJ/HNWWcKu+SbdtLGGj3x5P4mdUulxenFPqEsH8wp
tA7aL+u441yquY/9NbsoTrH7bKQHV7G7AKWLWO0LjuZQjaNLWuJHX6I9NP2zpk+gue03ptdavp8G
ioEFgINpTvBLetStE7tfT2UdXyJkbRsQisOtaSNyztdZr9UZfKjNaHm762cz5KctAbQDQUrbX2NE
gHn05JMumXmYRPF31Ckn6PlXxPWUw/n00XA/XcGipIpBn34TSVHuRmrlgZ+W66xPYaFSC1/HDpfy
2lpoy5vzsZSR9h5ZeGNIO2+qCHi47YzvYhyOzBc8Jq4TkAk5JeDW6u+zmTYh0V3AxLZKVz0t2JMc
XtnL451k4r9PV7nbf/cyfXUmkd/1ivsVHmlcgOO4Xcy3ysv0Jz2ZAZgMj4S95DUpHq61cZ7SEN4p
RTNDvSUt11dwV09Us9PtknyJ7iFp7HJgz0m3suhCuFDgt2Y0MqK/UPhQpmxPpCSD0i43HtmetB+/
9cxcW5RAVkXsO0HVJc+RyYMj8aOseL29Z9ct/kiPLEFbLB8ZFA4nXzwqtkevPpiUFcEiuKfJzD6m
2aIc3D33ha0HppGHddpqV7GkYAkUx3AxR3dkK8Oxq6s74WALHaEHuqFbdTyleGfK8ZBM01YYSPU6
yXB7XNdlqDUABKpl5CaYqwPpEeAENh8sZgPLNS/9wXfw/JXGeBlc/YAVyK1hFeDPRqXseCyesU9l
weOwNACj62IXSxva7ZaSiqdIXdAyDlqWXxE1X48+YyQ+rLhJdwyvRojjZAj79b11pwiaH0ABbzQD
cjs/feLXu3LWXs3KvRRqiI803cdVVXFFqArrqdPOllKHVulhPHhgDCY9kJ27aSIvrJgRbOj5kWvk
6lG68Uukoo/CTR4n5ugnpiwzmuzzw7+cLyuLzUlVN27lYH/UYmEvygWDgH0XaMqGAPLAqhaUzyLf
Rq+LIc67RbVvbjKDRYg39z7XFJ85x3462MU4BAPcGCAdlO29zi3QP3b0ISR1S+dspKJfOe1jdsai
irVUO6QppHLnEdawMYYwAN9zvf9dtN1b7jXECaTcSkpHa7TUDIKmzRXfVTBBvgSil3GzGDidTCP4
myF7cSJ550y6jiatX7W6HYU9/bqQwbTqcX+ycvzAJlTDDBwV9STGXqqsqjiOeOA5O+IPpgU7AjEP
PU+h6g0wTvRrvUA40hAmUrk1PsVNRXUsW3i75poGGjWZikV3WrL8ZMnsUleo5HWksZM7AMCfmjag
2bvKKa0yOdHA9l6JMYKL5A5FWOhtMPvvSeLe3MhnvIySBGUJlVGYrTlkZs4ImDs6grp+JgCBxUWj
UymK+AXhEVYBG6bdgqiS2Ws/MPrEXMMFBWlnIQciiMPzK9aDLl00SBVcEZb5s0FhT0so4+aSSuPo
1dO1qSSelghCXcOL1JbhP851QbnaN9LlXQtLSdKEmp8hmSrjOnKXmvvLMfsflgZ3zSIJ/o2S1sov
jY+CuvLa7qsc5cjRcOkrA0qxUpNSkv4yu8Y20R5E8VnkoVeoz2IZQN+30dM4M4Ux+ycKochtxYK9
ge0K8kwaRcsh/Tabwtg2dv1DaJfpNTCPmxbKs2JJlAX9VR+s66rvH1cXR98n3kNu09srwmze1slT
1s3yYGjLrrDTn9hiF9ZBXY4RdIsxY3UCfrsGyOjslgbqvjnx8LclWDtraRS3Dnop0XU0o++ho1/m
QseFdUckoIgXfHZy/IWQbqNGun2e3faHYmHwaS7AdvJxOEwKaiKDdodMoM7K0HrUMxwYN+aQgoMc
CfWX0hQPml68RU5k4J2i1VIDomHer+I7mfvfJODgMTECQdlXvSY8GbbBKc81Z/NsWgXAqzq3fxV0
phH+tNcWXMJqhDawhSMuNyD9/EBZA+kVHYzXxBSs77LQ5K55iWucDKRQbEur9sM16vNsO1PjAlXU
vXDih7AwOgPvhoNSVpCnaoRr0WCa+MMq7RLr/lNuT3JrLSeXuySacZ/IVfJT01mSJkDs2CLI3fXi
uRJQ7Bk9/Pe/09JyipE4U7ruHa4/NzHRMAdI+0gbyv5gzx1ooKp4tpPsluclAJyZ7ihdls3oNcYG
2Y4WLseFkrxXovPlg0/WIqOVrojldP5jeitmvqCHQH2Q5TsnqOqoRhwdQifpTROVhxfW1IjooF2+
7HqALqNzaIdqxbB1XIryA/faQcvNCzf6Fj57weXRcOLfSSPZAzXELw7xg5R9L1CdkYZ0saOVn3gk
oRrBJ7LkoCL+cuUOpEEFn1JIrd1a5yOLDVT3GMu4ji720xQXWwfG4oyZMvQ79OW+85yUFIQct6mR
XZPP6iu50xU7+UwcRHraC1IGMFM+eMfZQyDCDbUKmqL72yBE6iegx2lMV9GnIs2//mH0Xo0gRFu2
yhuQ+daEILJ0DDz6vfvupckTiDsNM3dF1+EeNhD05DaLyRfU16tHOnldDcyiEfwTTAPytFHC3Pg2
T0ouE9Ia1eRs7aQFumRop9H7aGUbn0zEPox5wIzKW/VUjOQ4fOdPKSv34HbyK/afGayCo8U2eig6
Rz/bOiarjs9lansj+YxkuACzvyUdFQ68LjjVzfIN6uquaJp66/d0fJsrA33UyDGqQTKu/6AMS1rn
XWpEUnpOHsKzD2aDJTu3s5Pinp6o79gGhjRHBODShF/JKP1TzusMawpOJKfhYj4c2X9OBVNogQ5M
Es10B0tV/HSJl+yTYolRWejr1m9gwKbDhSm53dTWBdDc8drpgKtcVJ2wczTAUl10bNTY7UU10cok
AWDZT1U/a19zTonMY450nZd2fJv8LZYLIiV9rR/yLh0OSRdHGwsAmerdo+n6B6C4q3owCUYI+Y50
i1he3SO/7C+E4MKGQdSQaUcr8JhIoyYNTXSoqAgbHpdeXcCDzT29uhlEdFaGUznIhYB5NbUWdhrX
jrywEtjP/hmZDNu6Fi9BWjItLN0WArOW7ivvs6XFeOxnd2/ZXK8aMwEeiqLAWbSfIkuvxpxsMRsw
kdjKXbbQZ6tR6aluKTaUz5jAnCBDL6bd7unXr5cRPlrrQ6ZGSY+D7gi69BfLlYfg3rxVPowgPUen
WNS2FeStZ56lzC950fOt9qGys90IgpR7LccAS6fc60QPzxVnWtljxJ0ZCs5KcwqpJESBfJ0z52X2
i+/ZgMnrKPtsUckLiDmRlqJGvB4eVVkg1wvFfRBOXr9P7PlVR+HR0ZrL45S6OC6pCPFJReSwQJpT
GUhRmsShE8uVLnkMHOezhxyO1kWe9oFRPJjYESRBrb/SNza3Zpt9pYv35FN2okQTU6016T2r+l4L
dZYKBwxjWIRPCiqnjv49Tdl1xrQWjNz4CBZzHdQtRhOyOcUJoc4IYB82tO6ia/oRn87BTRg/13yz
PGl2dCEpdbeSeFvnYLAcB6oYb3Sd6PrK/2A+fIoY42m1B4jfcs+VM6QBoY0uMB5X1V7mb32/XNoC
n3ZNTcocu1dtOUiVvLFM4JrsGBumhXioZAoHv1diM+ksVqny1iNKYOEfiom2rcRG1DLt1xsNzGnr
lBZls6Hh97IMWXUQbXdUc+bvndz904qMPJzBQbekVv6waQCks4QkGabeHXPmptqy/+KDSdZ1NxHJ
i8jXxNawr3TK4mkONitx/C3RSuLFmrjbjC+6TCnPC5PsUaN2tSwRrjWsScS2dtx/1xFZs1UyWRLu
L9EefcbJQZcEzFdaX20dd0Pnf3E4Y5jcaZjW90vCRhy6VnHLPmAsOqQM4dLW00JN6E7QVTB7lDD/
Fkh0dmigGFD3P8f2kT17VE5Jflcbwe1JEcqryMGwGVV0pPF7HqSrXTvH2DoTMchkAXuG/5O8ln+w
KCNRbtSOUnTvcezzofWZtCxdb488g/IJOZiU8W6iQNE+ZXKviv8TU7vrErcbWUt7B6DcK4gqlowd
1YmLDwbI+5TZR4o74PE0djRGrUETjvWTQdkzSit/rWpMuRnFgSODzW+8+RXVLwzx5iDuow1asmIO
iCq5WNtEH7h+BFHEypvVjBcbU5FsaY5GAc3wdTa1Pu3zlIdUlMdyPNuKOICz/C1T48x6PIOxR3qq
8l+5dN97G1+gF1v7RHG37I1sE8u25dRecgJMnj0RA99pqt9eaV+hDQjEpjSd2pnYdG5dWi27DT0A
cH9MaTsKqpCFtuRbSjylrv1EsnKuVGQNmHWIJJDGcJDuqQgbAwBJpnIlAiBPLxkezuk1l+wcfdIz
VJ5F3XZG6m5O5KHMaOCBd81TZo9Z0DtxyA3uxSi9r0UVf2nBQE7RKkWCpAhIcR+4RwG4HC13rcfV
n7ZzXjDt0EO2+ADS9NwmyZcviCKkCkPWUnhIsN1Y7TLHAihJWW4pmyfK4MNst9vuQfJnJJega85o
8V9lmaFbSZCPDlOvo6fEWnmM15tUEen9UIzw9Y6txq822eNxFS3eZJ2SmhM1G+Ln7KFDtO6RcfO5
l6/MfnYbN2H1bumuayMYWeZe9+bjcCq8786aTsnjuuqToN64ABFrvTvmS/GTtpYbyrEPl/4ok+iS
NESmibj8qVS9pZ/5ycGMiNI4BoOoKk6QuIud9jZl2Xf8qBWwHRWrmURTEHUtnRf/YqbcW4n90PfJ
FwRbU8pI8NK843H6rUeiCu2O8ngcq42ymCutekFGASTITgzvUZdGG/La9SqvR/Ygv9oVVn3E5gt+
lAZS7zJ3HsUtaFhlnnJnvNe6q5CHdkh6Vfs5+7SjmhnUvuWDXGB2QmrUPTUABPngvLU0yWmRfeTJ
j9lP8W4c2dKH5HuWqLRzl+EKy41+8yDa2yiFfe8XGKwbki4rVHA/eDZB/9UIpMTwVHtaQOz2qOGi
Didb3dkyWOjyx9sloFQ21m+m5Um1eDzQD57gJCbSHnttePSe1fJa9olaJS0cSTtJPmYhmnXT9ZzK
wLySPurN5K9KtOPCDAtJFPencld2xwdB9YqAsajJKphc5yc2B4RJlQ+zlyKyXv0W1a17Q5NJmOm1
G/WTM1LjmCqboLEXf9HSw8lHjjZTv+aeCW1/Kojat3lK+N1HcjXmdDSyaJX4Vh5klkOmNj9SgtrE
yKEomNiwjDlqMo4EHsVJ1p6WnstHQbyvMiMce9XxLk0/+cBEnojyD6+InR3sWb5he+p8LkoecigY
iUL/lF2sbStr4niBmSGbiKzVjvONnZA5WWd5X1pyAhNVLq0kAdtN2BQQ9HypqX+KiCIandvt7YbU
FWWghipY8hapLjRIPgUaz6eMaL+oeXpTA200Rkvk5k7E+aMyoLgUtpuH7UR2z50ou866OFCLTy9p
pt3NKQXmyeu5+Cp6/9cPZ+T/2einX4UqsSZkbrHRVfeX7v8br1oR9ORv4JxgxjSyLFvZOhwCmZbG
ej29NZb/5GfGJXFzN6x8yndVY+9rBqFpCvIBtGq92C4OF1pavE3AsnvAkmSEnFtNDjM17QAgoOUy
JHszz5A38olI/Aa5gCfUSudkspV8PxwOAUnPDp41jalAVr960F+qrv4zsIEHKEBvmEuiQPnj22Op
Xc1nz8ofzQioKgu9Hcvt303xACJ4wByzlfTAUPfU1xgC/NRqCMDRoP4sHZeuxSzqbctSc67b+rgs
rrYaNTEFjaXYWBdzFdUKno66ZF7848TdN9XC+4hEg+eebHFnLQyTl5a2a8+6lT1Kw1EezLYz0fDN
Nu5ELCnvdbaRWnzbxstYO+zcrrzR0YIYqsZ76m2Z7o9PjN2HEXdyothc73K0yNFYvbrudDWlnWy9
PsIRlh5HReK6yhMeFZAOhbtscu29rKpnrzZcqs5wB0jXBlbUHrNlJiNjbYTLT4Cz6X9cndlyo0q0
bb+ICJImgVf1EpIsyU2V64UoV0PfJD18/Rmo4px9474Qlkt725ZE5sq15hyz3ip1Ji54EVtmEeen
9lCHqe/VFMWVaRyMShEdrzhTNp6CDEN+M1KCmz4hrWH8fNJ57aESnXQ5hjuIIHTZBT1fU6n3pja/
UIGxtEZeTJoyYXd4uQj0YxYReKxrcZJvGAXROtWMcTU2pbbOY3XuUcu1fdwdNW9YRkSMYGpxH6Gg
rL08AgLDOUQkMYl0lP+gU+UjKogImMF0rErp3Aq09xaRh5uFCMlKqd5pwNMznbmte/mlWsV5YqyR
5SnxhlOAKiMBI5cmDyxZj3jJvzH1mi7i/AbbZdtXhLsaI90TXEqXgRnyqg+oL+aSVoNKw+8K1NJu
GOdrXCUfZbok22RH/DyEMrmuX7vGSRe03CQ+BWoVNlfpKj9vk82kzbBYRqBxGKjiddPN1cZwshr7
KfLYTuuXFI5mh2ic5U87NYrulq1PbwbvC5AVxLyjEmsSi8Proocmevdg1sp7mV2NIoZ9sOcENUUI
+tm2IXN0K5EyDiKExPeK7kuYs9yTclmsxwlZfE8VytYOaK89TSHWY8v9oULYJYlW0PZOSyJEHOQA
ieiOLn2mk7QJBA43NKyZ3SsPDl4SfUkTeUu1HKxqo721gkOXy3hyFRACs8kbplZtdXbM8dNwxuHQ
4XPrw3Y6Frb6TirRVWYeUW1dQd28o9hzJnGprJ5IXy3BSJhgBJ6ydI1UZImirMmCQdmPxnfdRVA3
pN1UuzLp1pFLJoo3bY2ZXMIZtK1ZDLs+4YXGanCTtexhWy0ZtMXvBncP9qX83Xbn12ZQCABdfvAM
47XiEIeg0Tn203DgBP3WWsbrPNfheobFCRin/dZO3h4Az0us8HOwJRBPLj4iu//WK8XYTiduJtSq
o5LMl/o+3DiR8+EY+V8wIJ/0yKN1nLZXUE0vLqxdVop8h4UoIM6ERVYbeRMUyndbiHVA0bbWodgm
qj4FdffNduz+girCW88tfQ/X6WEtlAfc06Sle9aAMqqJ1xEpPz3aYf592rqZTp2KR9SlhFhNVreR
rPSriuqAkmz8RiWFYYyNrArZTXsd8XaCcW5fjBMySfGXwRvLVJwi1LK+LQF7mgSH4qTDQ8Q0O2kX
Fefc9A6Dd9VqZlySVGBP/4qy4i6hotBnpsvYg1qup3oijqaugZGV2qrOtG8Sd9POckqwZ5TXpptc
IlcdVWlaZ49mysEeGf3PFjhzNmNaSB50feVR5FuXIUBm38JQtwKSgKUnqTQkH6CKKtZJiP9tOKp2
NjdYXxI1WUA1oZOFNbBFSkS5OleHAiFBqBGJnaAxWSOD+WW27jUBdzZIa+ky+rQWAc0s/8GA9HTj
KArlklzafbbs2rgK0zWiUHoQLpASjdhg9h567jOxL7Hsb0xv4lVA746sGBIYNfg0vcjpvYITwsO6
K7Tqy8x7Nvm/WPPTtd6QAF8HgI69KiYh2Yk6+vqUTkv5nGuclUiNy1YdiGO38piDZRN9X+sXNhbt
kjfjZeL8fkCv/87ghsGSs23bFHFidouG5hq1NlUgRIZ8vGJOye7pHN+nIrFOZpW89tp19MaH001L
kFfsR+mUb6Yi2HNmcI5VGX8fELccRzJv8jq9TOnMx7SO9B16C8fXyyTYT1ajrcpF0qOZ31KDnB/K
zX0FcwyD4Xlippw1HHkr+5ohbFwyUN97mXqsq/Rk7A8bV9g+y1ivvThcu+EQ4pwbX2KknSxG1RcQ
LDIsuR3lTMQ1wkpbJoc4FLDDsCmurJxkeTfOH3lkMwuGUOZGzo8kMw9Wmk80gpB7Te58GQezX3fj
+OVU+wAYjx9m4Wmgmb589h8WUKQ7nSDuP2Klx3Msu33mJPUuWEKUuuRjnONm68LFNkiDDjv3bI6I
qwiBPQIBeg4tt1HUd2c3b/YaGVR7BycbQlNn7TYguSyRha8hevJJThs9iDYurX6a71F+msr3eO40
Rn1EnheROk+IAEUXmRutfhq2X6pAFHvL5m9tdR99DxB+mbT0+dJt3ARUoDPt2LECVW8VB57DITLp
61XpwIYLFnWxGpW1ywSbfeK6F4I30TxTjZyqZSxQ9d09jVDMMkxdpqVqFbMGrHoNo4RJNsCEFwdx
hUHtKsxV1wU/CvQ/a0uTn5hePETjo/fXsXPzo2W8ZibORg2Tvc865APxPF0AYt1y3aK7U8dkDuTD
y9jZEPnyZN27rb7znPA1z1J5NCvqm9L8mcbkmzRiSf+zLCK5u/iY4xXdJiQJjESJ7WtsBtuhUB73
XadWGmeMVN/lYXLS2viWzV7M7pgs80reMFfyQmMHE9ey+qkP9u/MxLSc0CLVAivz+Z3QVtpGcZB0
8DnkY0hxaQSM+qExqt5HebIvvOKXwq1+HGtzG0IKWTqYv3BOPFoqvF3D1krIgruytW5h5c/9Mluv
HbKty3GJ2dTQDo8UyIIeCUi1N+Zo+PSXWaaa6q86LxGDemhLTEV1QtT7tiW4aC2mL9fg0BXjjVop
VAlME6ZPuyKpuMhqRQMvPQVdhdDE1g82m3bZ4uwoaYJvG9sjqXlmzpiUlGc2AQR+TqWJJR8JcKRt
StFyAvPowCImNPfFQEId1ni4XxXSQWHpO3KidnPDzlC1CrtSk5GUDlFvXTr8MJOSykBvaujlT36a
FQLeD+eUw+x40L0Gh85EGELET1sJM77gbckqNI1GavzWQlWuG3JRWHT4rM173byVdPvoL3XxBg3F
sKu66L2r5d8oVTcEGPqYIJLX+voKw5FVxGIzQWDqjb4aOEMAxOstaxs1jDVkRIaEM7QXvTE+q54P
j87T5qQ7i6A7w/uqXzJNt3j7KMXStv4uStfc1l58oaXsoJvqJvZ0lI3jm6DWWyPnj1aaqx4G44Y9
MXcoL1LrDXfen8S0oqOFb4qzsLGHT7TkGgASKYfBfUlS0/do/y/Rtp8a0jHkRK6RXFPaIGsC29VW
TyPyxgUj2zGNboIsLutAjGJJNxzX6Gy5cgXdzdgBxoteCLYC8RZ6e7sveV+9tLgPPV6RtidClIMm
zaPohNqkWltdgIDXUvchcF2qp/ReWqTsjpPyq6BtwPtX01tnKY3pPv0RRrUntlh10AINTwk6oUm0
fpZF5ckrNCZIoTEXOPRajzDyMbeJn0n+5KkTH21vHpcTZXowbeQFRds/OPXUyAKGYo1rPv6h0qFd
zYM1vkjM6de0NX9YjMULQHUE8B3dtP6FLjA8TvZ4tgMPHFGZfVVyxFKzPOqBdk+24fllWumXJvbC
XU9nO2CwcmgxtKtxQDRpV0izato4EYLbLR0QFIppMpEcqBWnlgAzAyVnmB2QxHs7phjTWqSqvJrL
5flVL/TwVPfgwf/v+7VmEQEoveyQXDhlNa9KYvGZUfCvO4QvAhHOwxpREqX6uG96Cy1/a4RE3DAg
jCIvOGYtiEvlUT2gQseiChJikwujuyEodLG+8jycR0xc0uRn49nGlpKfOHuapCvsNi4uxTgg44Ca
e3THI4SEDfdz/oXqn7UOAVyqFfJtymf08uZy/m4c+80ovB91HC/1jzF/mBkDA12k8dUqqvmjYHUb
4rx9xIMj3w13/5TyMd6M7yZYjud/UrrCPQ8T2UhQIKYHTIO9UdnFybFRIYq6MN//n4dse1dC1j7q
zujveX00Q1E87OVCGnJ5ROzzpSOUMKfOuga6W/rmNOz7cESmJjy/02R47fLWufZkdF1r8nnIgpV+
UHjWEQTfG+g0U66i3D0NUYEWfyavxWutdayE7Ys5sH3ueF5YqK7rOHMc/7/L2Keu3ycuoi4nnrd4
JuhREtl4xJRnPYq0k1fhyIOncmNd5DUsb1lk7xXu9jQYzcc46Nk7QJWrlQ7mi+dm0RUK5wfMX+Dq
eicOdauNDxsSy70IvqXTPD6ayc7WVj42u8lInItmlFh6MXM0vfuobHJDqfSBonL3ulaWnyzwMsd0
Tu2Vo9xsN0un3UrbDQ5km4BSRzeybalODkmWqs8qYSN06/wbBrNT2Xv2PsXoscmjWHzGmMVXZZGz
SmEzJURIeOjrGmZXcXPPTPfXk6GBQG+x+b7HaYlRFUiBg5GY1v/kIblMDZt4oUgkh661dCiPXFo+
RP++ej4UjABID6kOgmbYQRs8DykUSmQv79+9KQovrse0y0b6sOmsxka+p6c7rBEwp1s5fBiqJpSe
TfoorXYbdVXn56atLv9dnIAPdaGWv7c4CtcUaET+9xIu8tTBI70G3fCxeFrkUcaSGT9AM5CWGa0x
Uk0cBUiozIa2PaNZ2nZIS65p3C1/buXLkJHjSi8xEhHaF2+QRmXRWebNAUt6eLBMZZ+0hgj17fPL
Pi7WOX7adeMBjIAzm04sgmwQNjiWpmru0xM5XE35aVg4LZoMvqAIwYInxMF3hxmuq/bdqCAnbL1+
CN7Z2LUV93J758CGjiVZYEFIqqqzPfkTuZEbXaM5q4+Gvi7tIn1xTHpnMzMHsbBil0mCittTjlt5
p2fVGWF998cw7YuTW/JekuRaGlO1pqWjP1zWN+Tp7jYfZ21v2FcH/9AHfxwhiPY4nG16uXlifRNp
p+NZzbBLaB26YxK0127h/RxJffBtbOMMFyZGhYGx64t4OvZYCCgbIo4xeVUuLpYjqB/kdqOwXqqq
cA9GTiWeY+tbO0WO/m55HZ6XUEeC0ynSlyyd8mMxC/eGvKCoN47W4gEPA3q0xNMkDyFmWIL4VXZp
+/lvschwD8zEThECmX0wgaFPsFBgFIqCjT5XBEgs77w+E8PZJ7HkLTQR+GMlUj6zq7o5GLX4SHEm
Mfwy8xuDRossmKCiIpJqk44mHvG0uCRaEm3dMRp9Hd/Nelg6rg3jWaQmno/WN/CFget1Topxkxg6
FuG0eyAgjxCZ2eEDxdxxHEM2cG/OL2WkibWnObGvoaoYOidehfW+kldZi/r+7zKU1UvslMiHiwEJ
gLoN9EAIzZ11+tmxt2/m+VNW0jy0S0a0QelHp8y55Q1RmYPegRoN5uo8D0nJSjYek8rMPnijolNo
aNEOT0B+yJQ4Daapf0BYbm0f5Ou8cssgOY9lTaLYZH2m1UCDUJrkG/TyrZZh/145Nbjkmbqytcxv
Iq7xCrKlWoXd70EKlK/CZmzEZCFuiXt2Utq9Q5+jecny7yY89k3TVNnRbpOP2JxBQEzGay2G+Jrx
IQrhvXzNGTGitGuPoWC646ZD+s2ixtpqU0OgOx67EKS8b85QxaPUxdYLYQelOQ9d5arDPLQHazTX
JbAVApc5AyF3Z9Uu8ch0RY+JaoKU5zj2rVQWPeGhqWneKoJ+UYJfM0SeV0wk/C6d/huE1bzFhoDQ
hSMChNc4P9cRiUq20xirJ44pzdzwRlsPRymNrv1sT/ZbHY9y7brYtvIpT89Ky719TdYomp3RtwBw
bbkdGWrBGr+m7gfmReKVdFtbZwMy0TzVxJm7sPGij1YvNaLM8v7NhJ29VtW9hxy7pWFEbSIjG1PP
NKSHsWvEApKtz9DCO4Zr7U9ba+1XK/k9dBS/No3pCtEFdB+8cgZCSNaJCJscOcj7oEwuakE64EM1
/H+LTwp+oVtwRTQO32i60koMhgY1TlS+kCq+pg2jr1CATT8kkg/D9LJtvRwlxg5O1Expd+KjmQU8
pSPWdhiOUZ7qt0Jrf4sMWRaQfHGu4xKi4Fjbr4ZKLxHOa4RZYBssrKuOsnF7eGN6AhtQ3OYkyohn
x1QT9RgNbNH+dcCF49Rg2DXpRX7pIEYc6tx89Aa2o6Yu8AuVfeBHg3mMJWEZ2JBp5PXATKSrQ4cp
bcr4wsNEK+PtEGP9L9GYrLCQGZvnGxu4PQTrAR+8ymc/kJO5xzyZU6U55pYFO8BA5HEEjjrtHJmE
HrM40AbVm+k8WlRgiQyQTDTVr8Zgkw85BDxXqI61cEcF/NcQsbeJEhdcyezgNWjd4CiiQlvjOJop
igcMEFODETuKP0MIF69lSAOb4s85OpxP1npvCpgPXDTg7YyEWaGTR48o6cVtYF1aLH2aZ2Y4xYW9
EVmmn8aMDnkFVW2MAFcIWoLPxX+K5nRtN9wHbobUIvQ64T8vozFx/vbygiaMR5mcipg5fa3Z+8ga
vqPhwBxWR6whng0dKSKeMXUNcYoYJW4nOc7nYbmMrducWlqddgCdgXO0M52SpaUHgPYq6d1JjZoo
ZDL0wkbfrEZd1qcqyb8TWiAuuEuKU4HWZ9WYkqwXN4KT7KieTRYFhY3bb581zXydyqWMHsIbsB9v
X4bC+nf2aSDAvRfALxZT4wdwA/vSC9nci/lQS6q/55IzRs3J7lq1LUT2EkxBe7TNgcZgVI9XfYA2
T8q02ret6+41dK/6auke0w5jFBPk6aZLxXTowuqs0AM8kIBr64pn7UMY32SZF3JfKMJFI4qPpk/a
szfKgbNY9pqz8GwwNA0fFDRql9VE2DiJ3KFFms6YXbR9FTQ2fP/EefQuC8ScLmd6O+awKaONlEa8
NzK5aYP+YNV99Cig86Pl4wieOOtZxfW5qa1oZy70i3+/+RgPP8ZlBUS+e5ttgxpz4oADOiICtLNU
dxryYJVgcivgtG705ZYRGDkO2fLQzPpoD8JerZGaBD5fKDTr6aZWRQL2AlWzsJuOiq+EXdYEaDdb
moKxbiDTCOe9rBB943xOz4w9k2Ooim+lRaNyjFzzlOQyOfN/5PirKuuqO1mwcbJ2xAyUf7g45Q64
BTOO/mBw3AnlfEX+7SWB4OXJ7NwPn8PcOS827OG9TqcyxKj38rznHKMSm8RpnUswWMUp0o33OjFO
gzbq3wYEVbu2s14x0dYvFp1qA7LsBXMuzbEFbyOzHNquKhcVL16RHAWyyMMf+TzBcPKy+eDqijuV
G5aGYEK06vJVE51H+bV4gWYZxi+4vuRNUJbeZIqqTxX+mAUCmc//fht5HGAmsGsZ0HZUZvY2Sev8
1GUkYA6mXW4mXdvrMSx32TIY46RgHpLeM2+iUbuJw9mFLtq+UUl1ThZuCRaEwHfq7mA5NSUPbItN
0dcpeL0wvWhoBFnOCLOY5Jte9q6P6UeuY/rYn1NPvKRLxqpXyLtLV3rftZgFallVzCvj4DzZnfKN
ue5vblLmR5dafiX6sL89L0qQj67nf/Rsvlu5w8yb4tIT4y0L5sDvpwYOlY3ShgANP5atXyZ24ddJ
591tOeyem8EwK7X591ntSus7bLMXQ+PjIMg7e1O2w5sRGu4GLbC1h/+ZHk2PDIARABS65gk6Ud2t
3WqwfaPLIOuM3NUz3ie/rAQjc6+h+IOeh1zSKB5JOWufdD+ZWdhElstihp6bY6ZSdbI4qerw+rxI
U4TXNrSmU53WR4au+qasauguyQD3MzaJ7cyNRLtz51FLpMEDfDnW8w6tb+nMioEhnukE2vtGCz1t
q/Vx+jCttwxgHApvyX4ILahlSro3SpdmSqVSSujUEn4nGPkkgr26puk0JUD1d9GkyZ3Dor2Kls80
HljADSAwtpKyow7r5jTHY3Yel4vssk8WhZEtJ079yinVzqtmzN3oMN4mqobO7hiRjm6zq4bOO2C7
uctGBH5ncAK0kF6fCJBxVvHyk8xFhKcc9aMANOfbZhe9xrjN18rIo0Pf94BsEE/tkQyhzNUdfOy0
mnYOCCCkr2Z2G6R17cPMJiHXm3bEcmQ3T8jrEwSV9mO3i3t98uMO0VYZW86+TZkJyKyBsVYXH6pT
Q3i07cpFV9GX67zNSh+RWLjpvXlYa5ydoEm3/a6ic1qURn7Nc7u/Y3uq9gsaBumQcQli+06Lp3k1
Z3oZcZL9ofQdPlO8SYOWZQDxPHZWaEqamDh7GZk6icH7m0xmfW4j5eC4YG7FfHc+FgFKs7wW0UZM
rrqR9eHsdfyZp1pGwC6WfI240dZaUuQvRWC7Gy0xAHbVrrt6/uodDW3alFm0eT7EYMOKVkT0eVuk
FQiQ0o1dcDDsJLYmfqcLnmPa7Ya3KQfb8lMSbfBPm0hhpYZ2OjDhpjqBeWXZBf2ggC32OTbbZNSa
W99CFDNDnB5V632YFmVFy2lvI2YXdcKiqF+bRi3PlGvybJtBfByj/FWq8pAGXnybiRZ6M4eIDahJ
tL3IkAyWYq59PWrVLops5vEuuZy6EX9HRQqYAoHmdRq1n4lstG1u28VtcKL9c0HVwE6mQg40IO5V
GOq+dOb0rEXygtR96acuf2WM6cRmT9loAmHI3JnN25OupLLj4I3WFVKSdUYLBmfCscKLZcTM9j2m
xahSWzXdLJmaL6n7Gdga1QtZKI6hyUMWd1chcjpWLT8DAyFDF04vtFRM8zQ1fpUnEnSk3mGyuOtd
zxR06WpxalnRMdGuomtfvSpIWTDt742c5qMd4Trm/9gzKD9yrg02/w5aRkFUBY0C3C9euK/dbNFs
evlwEMwt/dFw2dRYp2kmg2s05x/TDFbjiYHqDO9WmXro54FNDkZGqR428kgAxh/V9ZvQTtBJg5Al
TytLewa2pfdiBHFy8WIdAAdngNroATNY86HxUOUgjCfIh6PL6cltI87+U801k0Lc2NtGue0Z4uhH
hAHymiwX2ciX0aqLk4InYobD3iTzicAAcwAxtDQy8fHlJ9VIWo5K/m4MMqrGdIhep68OO8cuK3im
pnezLyRxMj17TAWHc2qF9qEI2aD1PIfMQcVHQPTiDUhS/G1t0m/2VW1kOxKXsl2egM56WpGLqYgu
HetaVvx0oHu0Am3luhGx+/Lfw1xZ/ckCzfSPfJbqvbevGOPi5MmCfUTweddW78JAe2tr2kR6L6Sh
IiYLytJbd294bL5Niiy5XAqKPlUhKIIE12tcvevhfNKiBFVY9rooVq8Y/OPb85JOFAQyrUwfT7L2
jjiIXOKb1jrRF8BWRrBh88dI8Sb2WmofRDnSZrP20RDSP4JxBUUA298mKPBmSs0jJ1gj1m/VVTTc
56nrT8EfNZT9qVZt+50JNfeq+91pMJ5WWZC/em51lnrEObwu5l2QkiQcuKo+2Hpf37NiMzpiOadM
+mepm7xfXvxwc4b8TtO/pWl/KGYNmJ1CEuBGdnPqXOLHK2VPF45d4S60wMMFsgtOiMIx4zhQDU2t
/l6HXX8M0Fe9xByOyRL2oKeN1uyncfCXThWacc+DtMaiyWKM/kz0kYt2qCuu2niyB12BZRmiF03L
mA1RDWsrzTLOlgbTIxfyZ+Go+WHH5hXMqvUiUPYLqLj/HmUYZE2RlTsdOsH3uXjQQnU+C1unmTpm
w84cG+ezozcEe9J+p5+GTdX6BgavJ4LZMV/zBKqhxvjch2IABpaZZxdnn+aSbVNj4tkUrO8FlJ9X
DR/U5vlVnDAofH410PLDnztsrRaZMjEvxv15seIaxaCDimn5Vje62XWZy9bSZUhJBArFYv5o81m/
xezYXdIANGUHp1quJ4ADvY5ObLnMHoABetHtmpriPshc31kp8384diUSHSz5LpqBMxIjZ5VYIBrk
EHnHPJoFThpOBO1gMv/VhkvpjmcxI+i0DMqhsTtyOE18a6km1MCxx6vTNwnx6BMGyTd8xhrFAIiK
WGTtJZ2ovgfm84cM7PTOVijYTSgpWCGcPwqLza2nlK7C37Qe4/vzwtjWOkTLL+QUpnfT/44Ols9Y
C/u7beJJjOjY31Etc7pcqrJ0hK9SipEAnST/laKFpcfepC8KM8GGc+2voZTVW691W9RywKezwIMe
JuUOb+PNRnnmZH2HqLnczLr3Z2zy4mw6YfVtQyQS+z/28odseRGrEaRDudwkZaruHK/Cr76nHqvh
QKFPaPaOXeXvKmFyj+JAIKOOERWCq9DndjuOGqaFxnEFfUYLAsxs8zkNwRe0E/KPrAc32KMc3EJe
tc8jmWpJ6qjvKe62tRn9qVEz+zUVgt3U90LH//usg/uyuUJD5gCgdZ6FeKuSbJQcuHT3J7ZlZLsO
qlN6b8G2H/XEV6OXoKYnqAoux7nqq9yn5vAZCe1gxHrHaOmWiTkqD8+No4mRuARU3ttMI6YsG6bv
ll606yb3GHdQXKQapOZm1if2fnR6s+UhPMdYfsKCZfDz/+gKUMgwevWbjVoSsknuGyLXYHFvpQqH
VaajB5gI4XtzMCdtk7YRu+fD3ihgqNXiFQwXPESXabodje6XqvqX2OzLj6Gp6n2juciw6zZ5i9zp
p9kI+9qkNmkmorGu+YS7qUBTcyhnJHuEdI/ZNp30C7NgnCFLX1SVTXNfQDKcG/meZofNfTRkdoJN
BJgsdnhK2GqHPuftzLXubHjjBFiQXmietfZPPZm+qE/Vo0XV7M3NC8tddQDgmSMlrpqXxmGB0ea4
2ucGvXEaUTiWF8i41XAgA4aMC3Gi8zzM7keimZdulvmvBmpWaBk7kED6g7pdPBBTIPPXUV5bHhMF
B8bAvS4XGaTy0p+iJJxGUTTqJtMHt07nc285mI6WlzV3Rr93gQyZSOiQw3bGrjLVF7YQnIFleGTp
cU8RY95NODv9q07fpsbE+40hLgIWgUU+bBLDp8WSb2fcuLex+uMyAlvDCRm+UQTApnYcZe3dkTc4
Lstu1xllfAFwFF/coGRS+t9js0tea5oWh+e3/vv+86syapmpaGCVvDwYdsBsbNxN+nz97+I0gLYd
GfxOtLA9PL8fyX5kSCD+6EabaoeJJrQ/ol72J9kYx6CzxAMGaf/e/awNFII4CHBq1u1045VmWufq
ZLtZDOjJBsT623rx9x480iaMrPQoFl5+3TYHTF8HfaS0gIhiP4IguLA5TN97BqHUGQL4WOm9EjVH
TJn5uzTxVYR6Z70bCRt8PDQHSSoYXXfOq0jyrWM3OruSuS23G6q5xqNl+GxKKB3ux4Qn5qFMrb2n
wV58wKfuflWT6NdGQjdByDLzkVLwcZBwIXt6dc/LoI9wNhDY8oK/0xY4emXnXZzlovV6pW/GxvjL
59ICu2+U+ubfv+CQ3jeDjhH8/54N7msGFzBThvRNdRud+TcND+P4fPS8KJDRB7bDip2mFBV2KLRc
tRx9KepyY5m4Lnucv8gHavNE2/zeEI/38vzW85KVkeDmB7fz//2DE7TvQqqXugK97bZRdNFmM4S4
kn1zZ9Wder23try6M4WW8XcgWPQT9xLd/zmUR2Xn+ee0Id9OfZaWFEenrm4Uq3SGHcN6NGbP6XsW
1geKGT5hml69x07xmGt3V3bV9GOQHinADqd4ckbdI2y6Hdl+0es8lOzRwWTuntV1UviopNdlHJqn
NlPoHdtsST6sAxJFa5Z0elW/LZeM0two2kM4IZOAI/cXjtVivKtL6DZm/U3X9aMWAs9qRPkKkaVZ
mxWPQI4y9AbUxAh9xjK2SmrrlibhmrS9v6P8Ruufo6nhJPusxQVIfYk02UpMBPN9cjINpNOaXp+c
xX3MSMtDR5gtayoaVYc2Qh19cqzQseTbtIOtzkEVYKIECTY5PDSMoHO905Ivk0nwwYxdQHdMxhGt
bCIHkqpMcJ97lJsumjmG2xg6KmCKoFlKXzebWzC0SJqaqFqXE9rqlhukHIKFGIgk2NbM1aS8ccUQ
2VyjlkzhLCz2NLp0yN7buwwUw/DlPyxAftKiSLee5v4qlu6n1SHKZ8S/7kQNt4OD4VY11GxRxBl5
CH+P9L9t6sw1/mCmNECK675QVxxXMI1p7wXey2RqCUBM1z3qMj3GFsgSBqDVKbPNvQtTZe3W5BbL
8UwPs3/JMa+ViaVWqppbjKkO2ZBVHm1nm6N1hxzNEw1ATAwvMqGAYif7GQa0bUL6sUghFuunNX0G
yN9WhS6qy1QhVQ6ttj+02JGzAVsoDcjT2Fj5fW5ZLsie/aosWmGLBd6zkmMf5OemK84qbJbQTegg
s2lCwYjZI+m/babuTx2QOEJNDWC3DG+dZnpnnYCRyu0AqvSc8uMKpzbVDB1LfVzFHTbeyEF23pXH
ROj7kgQmsGKNtittHaxPPCoWfExdNjT6dZurH7oOQCLrFaAXowq2hPzyDFqbGunBTlqtoxANq0Ql
PUrT+qHp5N17TbJu5gR4sGiOOUqOQxnj0OzNW8Ts9t2NJL6LqaPXhnTddBAt2m1wQytM83shis6B
tkiv2NE4BO30dPCOqjde6MFke4aRKw0k/zEo4/jYK21Tc6bZuOQMYPQCvzZnQECmwP2MarKgLbPd
DrPlHOJqE0V/AnzjD/JmV0NXxce5gxVgufzJLfbAU9HiUQgTscoW2feSfkzmPB4R8ogLJz0PEBnr
sKVdiulITR24l9AZAbcyfv4f6s5sOW4kzdKv0lbXjRzsi9lUXwSWWBjBIBlcJN7ASIrEvu94+vmg
zO4SQypF1czVmKXJLDMlOQE4HO7/f853plVdjDXqieQOugGdq6z/BsbuGQjHBEJRab2yGo9jiUkO
g2i6cCwllFnOZIxfTTWEjJgY5qJy3pla8oBgT3UhnrEW9WxcB+2dQ5Qry9o3HU2EY+kzW5rRU+dE
8pS+aZcmaeLoHIJXcleqWMkyT1R6n2xQRJMpwDg6feAWQRDS6pvZxCnZQyLQOs6V4CsOVUqNxTt5
LKpnDHJ3VNCRGiq0xLls33Gca48lC2VhKet59p/iDLNoPdGo1DBi7sZI/ioY2OgKXbsJIonkuAED
thCq75FhcKdD4dmiUOrlY7cxwv62hCrMtjj1khqfxU4yrORocUIqZ2svcex/VsJ2Hbex4RKEGoKK
Yr6p1Xtj9u9+QheSzJDO7gMyMcqpWoMWeAmN/HXU0gUEsoCRoK7bIWquQ7G8CqaoSK4GTxbRS19v
gQE/zXyWe0Im3M64L6kfHJUYAn8gg1qAYu/JYaHuo8hHOF2PAFRIrOEDwFIll5BtFHhfFTptfcIR
IfYp+aEFmRGDSpJBbzd6+Uo0zHWk6OUNZHVqxjGAI6oagCLr5FuzgH10+ohUcSUy7msDCba2bUWh
23WDfpxydV9KyODpEd2YMpxy1ZqjbSvr0SLvXvzKbDmAgqI06A8d2VTkIyP9FvvsjgQdPO9++dxX
6DCmChOoP/eVE8qyO9e5uoN+iOg5vspBjy9qnuvRyG+sro3cUg+ukkr6ECj9uPlQbgh1FXb1ZPo7
nVePos48Oxj4Byo7NduOYkD43aFGBrz+IQB/BP1lXVWtGaFJF5+YSU9VBLcQ7Zxn6nBQ1EYyeNWG
HDwrd6yRaqeQUfGpBYo0QYMn0mXfYK7BKozsvAowU0syuN3HpgQom2bdKakEa9f6x6rGaY1PpLRR
laJC0uhgWAnIwXEwjmkFkWYKBjRwrDueciM0fDuoMQV3tYVWUqYhz35P3iqNkG4xGeLiD+u9mObW
NYFPkeubhDWod11AAgRk9QPhlrh56yk+CKPwMabtscR9ti5F4iOmQfoo8/yJygu6KOLYy65/yOv5
Sz3L10qIlx2LTqkif2ZHuJBOFbg3FofsBJJxXX0dW9A0nTh8qSbd2EkN3rSB/46xFq5tyo5xlnh3
wmLa3VpzQSO+FfNNZvB+GO2GDrtrDJF0xat1AujDKSNtOGQRhttCiEM8v44nYdjFSMLMONe34Kf3
ujFc66j/d+gU4IL70S6zRhIqApwmrVDluy6KOi/LmUsJbtRx4pzhV9l1MugeRoZvcyDetH15lIJC
PphNsqvqYKNHufRkLvIQZDopcuno2bIifihiq2P+32nwg5yiFcs6mjmZEu6qEKLYGxVfvJanh0ma
EJeGe80QEScWrMGygkVJVtGLwE8XxDt8eHjXcUNvxih/teD4xEJnuFqb2aIoU22Wi3Ztyuw8KmEQ
bX8K0Je1GqnHgn5QS87vOTgovZaRiyAZ6YvsnRJhf923aFtVMhQoYNnWYsdHZOnAZ72ddeIvZiO+
7TGB+eN+bl/zkhCJTFe9JhPXZRo8+2L5LddG1ExgESi9w4WQ4utcVJMNDYVVIqwFoaPAKwSpK+O/
WNNpue0F+RFKXWwWr3JcPkdj/1aOGsoaLDkexdoBMfN0GGoQsUZafuDI+4iV/BY3FE4EegIbc2RH
2LcW7X0rKnfSWJc79ky0kA8V/pdVaUH4UWryBRAiap5Jr+K+HOUnCbowVu68dqgupz7g7TwpfCzP
8x3iWhzUSb5JIsCkYW/eximiaKuwQDIBo3Blc0AEpqEg01RywMtxm/VUZw2JfBifjeBdrdI7kER4
lqOTxNjKaV3dRhI4hI7yqa1pwVVbN+p2EPq13hi2Xpvzvs4S1FW1pR+1kurtfAwRyX7rB+EWA7g7
EEfz0LJy1QuAUtbvmdbNdYXMfk6h/Oq96Q0fRCu3rqwCdWhRkRQohdveKreljFlFHcN93BT8UgVr
A3vsjF/rYLG5WrVJT75FqXu1lgFoFMQXMyilY5n54hF8d2sKwcaCIbmEn3uoqdj6TPNjOEMYrdXk
GcuPcFKlpt0GiF1Wo68/tbTtnMSX7igg6IjRtHSD0kTbTI0JToFIHIO3ZEOjFrpxCZnEV8bhmOFq
zbJW2XFc/s9woDGkJgtCpc09sJbDtsKLGgek+kwiVTAYc6TTSwIFEW1AqE5MTBaU11j9lHu9KK96
AxrWqDioe2QFOe8oHcc8jDd5ZGw5S3sFIdyrglbmJkhIUSjmOz3xOcir1Bwn7/f5WdJ5qiiRHrIO
ScmSDFmDfHeWmovwygC/h0G7nkmaMTvAOWGiGq5Jog7dL3QlBl9ERINB7jbcatTNKATyzjzJk/Ya
NLYpRwpNM5QnSTRe//6nk3/K9jIVoj91TVKwQ+q0YD9ne4GK4ewztfx0Ad+NJB6h9Qepf9tpHuZC
bmVjEBeeiW6WqNOdpLQoG6InTQoPfHYErymh6lF922MdkECzsJLkMpXlTNgQ/yE+zfh48CKXF0LJ
VGkJyCvSKSjy7be//42qm2WKuikbhq6IokEZ7fPPXTc66J+0A733vWEChza5xu+N/sya9D06reyO
xekFK2m+mdlh/amJgZcDH0xQSQ7CPUfjWhuow9WTJ0y1vhtMq9nVY++iRkruVTm5D6wp8wJ0wzSt
Oo9VvEPvmIl3WBzFuw5jl9DAoJsxa5NiARlBrEwgjeljL2r9vsvjAS9xI8N+0EJHa0GCYlYCBqkS
Z1AU4AV8M9oj+M6ugmIenQoXBRslxe38qrhpO6k5cQNUwF0kQAgloK8mLumFS1QoUzGPriK4hzb6
OQ3r5BCxZI8wado4YlWE1rZpwHLBkMP7VJUmobWJBpWtwobOWau96nPIREkkLQ1euJuF1bkg2Fgb
5MTaBRgCIc6CtOXvkPE5ycI6LpTmMOtFuFbDKbDDVG099PTVTisFGPzLL9//FYz6Y4yO0fvHf0rD
PPSonT3CaqAv1iaU0fhIJO733/L9z3//o0aok2NAbozqz+FRX36pcizAstzt57rEglFwNJXAdDvm
lNPepM3EGiC/VUNj3iD4X1VLMbEOBvNEdYhwDwnYuczpJ+nbCUg6v6QN3IlOQ5mPge36e+mrlJRp
K/VISQIKGe4o5Clb8I4okkimqlDgzf3+iy7pD+iRiQdGLuTi5ikgrVTGxmqEtybuM3zIkD4IvSx2
3/9VTaLjRDvGbMRxN2fZXddq1YZaLXVU4XpuycWaFfnQW0hBIYh9kdgLbqdQgdgulTGJBmD2x2bS
b+W6RLphkvQAdsLff/8lr1IgFUYD1lQNhX0mFuyJxZbkGPZZt/VQKg8RQEVLiOfTnOcygsJZdgL2
UlIYGM+BJQ/4tkCgKAEZPfJIq6mtBluPSK5JqXjT40ThP/EsrFm9kctDYlrmsZUL9aaZro1EFTyt
a62dOSIoGGqys1n9Ro7UmrIjjQbKe1lP+5uRWbnHo1yjctYC+AFN3Xq0QPxuNRuRum85lwlLsxSr
V7r7rsPkY0sFZr4ahSC/JlCson1YvwMdJcvUyFo8GaUtV4O0GxULL6k8CXdUS2iLUg21KVHGFKqJ
U8grabST5T1pl7cjd61ATzck+RVPfZknq4D2llJn5Z0KVhBOxkyUwgISoKNk7TUMEO7Ack6iVgUZ
n4wxwLriF1MCfKH2MvYsONY3aYBboMgLwwn15QwTpdD6GgMh25w1tmGM9U7GbrsieaHJGuiytYmR
OkZfQTs22k1m8K3hC4E6ZdrPs4qSF1a9LFcEZejFtjXjeitbJVtzql8bYYqa68hv8JIWKMn8yqJj
svy3mPWG/DKsJ3VjclRhC40C1KwqnqugXBmCdU3QXMJPW4Z7NBRvvpaMNLMPbBrUva9qyFfT/Ct9
eO3K8IcA2lGNITBpMrdWsUROnD39JRFWKVWOJ2LeuBEpXOsxyxFgCNI7aorpS7jg0q0iU2ELDjRw
YAQ32ojVGDV4hpQKnadphR+4duUNfctym0GRdAaWG7uZBJieg1jexMocbLDMXhmp1RyVqNbYrJbJ
QxfyigjtrlCzdI+4MPb6xhSvBYMyh1lb6U4xUPGqxXBQcIFjSVUIdSliyDbTLjHj+Gu3AJynpDOI
MZCoaqB3wI6OlkP2u9fvPiACX+dVLDwRNzDCqNqZE6Ig+LFa94ja94qCm7WxstFYR2L70Yd9dhul
Y3WdS6KxahWlu0bBqLpTq0R7bUimTS/3X4ueykc/YBYejdHJMGZOvt48NfmXSEWyGyicMeohLdif
QMBM++tW65builCssWv0R1O3dn4oHSIiVI6+rwrbKTdrAkXClegr7B2gZl2zl6IjN3PqkIZcwP9W
915WdMsNXVqVCsY0gTAF6v/6txK20D4eoEa1QTDs6uUXlQqa3fWy5kIz4QtqVNKGZlt2P0Pn3hgc
OMgGYquo+KCZUhnGEGjMbUQ+hiNQLngV+g2InfyKWk21zjR/toMJtRI1fpTWWXZQuQtP2eADNPX9
cUejVv4z8fd/Ec8dvBd/hTI3//W/f4zrPvvX/7ovMv45j+3+8U/8178WA75+L65fsvfm/K9afpq3
opzqiLIlo//10zkv7cunf8F9F7XTLQXH6e696dL2+8/NdSy/81/9n//x/v1vuZ/K97//7a3ocmhD
d+8Bb9WPgd7ysp/75xHgp6j+HAD+/ff/mQCuyn/Qy9ZMU5RkUt8Bw/ztrwRwRfvDkHRds5Yoacuk
QfE/AeCK8YcimZJmSISGq+y6+EMIANvw739T+PskUuXgUkqqrNG3/XcCwE31c4YzLQhLkxWGUSxF
N9EVnSWAY7Uu/agUyIY1fKI1QzxV1J8kdbL1URwoumdFvY5IffTAQYhsB0x9KypTxakrsDBhr1LK
oGDTJhmRpSYPhyjR1M1s8VKaSSLuFHHBn7RKif4t5ltqQOcNTG2FNHd6KOrBvw9MX78zYgHClVw2
jQNXKFSuyrSbT5k8YTE2wfnYWQBJwobgrz0ZcZWckiA0aKE1sHtW6Lr8uwhik7ntMlKNbvNEKcbC
QeYVPyUInEQ3CoRY4QUjkG7oofHDiiq8pguG9G2hxRnmh2J1C/MnC9qpO400a6YHssJK1IqREo1e
VA/KDFWR7270IftAQF46XEPK/aBNPR7zRcWUpUbX3JG7RPk6i/lAO1VdyygqW8FItNMwZdS1FKnr
Tex1YB4zCCvZ1F0HSqOS3jgq21izoOQHRhQlL1M9VBlxTMmcJ4+JlArqN7yrgrXKNZywNDTmqtxO
QRSQMqvSmUL6CTfN2nT1YL71NcrklTSgoME9U5bvE2qU/di1yiNhR5XbzNUESdwS30NoW1cD4lpa
XJ14yheVGPlL/hddt6InmoJ0wJMUhQnA3uTBiq3mVo3npjzQnhdezLKs7wuyVBf3tz8+8LSr0gEJ
iRZ26vv2lgwtQdkIqP9z+DpCVp5iUSjAOyBZC77EFj2vvrFQvOKn3flYsjw/8uc3TttsQEOOAiuz
h5JDU7xg2+AEZpHfqBT01mQjZDQm4nSTSZO4EanA7UYh0++GZqnULQjaZKun4nRKh1q30HPGhHBU
RQJBV6TLaITCq5lF/qMs4R9dEcHRS7cWZijC3qxKrA+89DQV0CPkD+NQEhwTTq2WsCuinkSQWREm
2xmWlOTxu+lyqZhh5V0bQZmAs2hI08Os+ZH6QY1pnPZB2cfVUaKOxjsUcAI54umRvLiuCMwCtQWb
ZI6/5E3Xhd80SgjYOnxhALorRxNbKDmQCZSrA/UQ8CPeDTE4f7g6yrDurDo4RHlbPqKEyqBvtM0a
7DbmnMQX7hB8a09a2bKZasDufWhDIVtXVpRq11C2Jc0VwtG/R8um3KYZqxrKaQG/rw/QCni2KKq7
gizRV2QteXSncYyzU4toFqcprIaOIKELHxknjdukkoP92MfibRnO+rFT0/BDmAcFopOCM0moVPGL
RkXsxJc42lNx9sFySHghdbHq8OJouTcMTOAsCKdNKHchRtAM6FputB8lBVWvn8UAr24HjXHbQOEA
yQiPFIbLJOMjSBRyBwGOwaXygT60xZM/EAhYoPdyEXFOXwbR5yQGMmOjyTOEDlzWzOpAXTzb9Pwk
Wy0zcdfPmFgFy+hDuDElotOiGKEwmoIHeJAacWhJb3iUsishQKaqUtdTatQ7ltFoLwSkpFvkVNOu
ZWsCRp0EDHoDOqZWuTwOYyDdJrWV8yeslv4yILUqtXS6SbB1pmoYNoCaq30WtsIa1rpCcy2e21vE
NQUREEKJ+TUVwbrIHQ5YlXDtK8WS0HrV9bQpcpphrjSKL8DGluwV0fzWcr5+RNY5uRxmv2IHVQ4h
h2tvJFICdZ40uORoE5UA/tMVK/Up9PXspgD+ClJex8Ra0KMgnKW9h0xHYkdEcxirBXOwHGPHT/VH
dYDlSiIFWkT5lIiWj5BTOsytdAMB7l1us1cVv3dGK2dVKdI3Q8tPfOauqDKgFLbKh1CrSgi4+C30
3DjUJTyeAFmzJxXqm9WAIhc0gsMqCSZ7qWqePDdfkoIQUSMRHn2JNuqk9c99Xy86ofFNRf2G5KZE
bCwo7xYBbjany5swiW/DIf6oGqCShW4xa4wMXmUq3fntkq2mDmjENALpsAUjHiaXb1nun6jwh86g
hr49c3No+2M1k7L+vVTD1zGnptu2nX4VmFVIZRxgYYfud1sEgbGpyZ1YJ3WnuZIANq4aQI0lUs85
OgpR6QRgAYxySVQyFJPSOSK9dLLQWjbfdGKN1sYUoigYxp1UVclORawJ8CuubkeR2ltTyMI26jJ1
B8QY4k4DHV+XeE4R8FDQbWayDaa029Ycy/bkP8VrMBDhsCqmDqaL2QbIufsKTLogrrOmHNZqMMfX
FKXQ84X+3dT41I4T+mIn4m3i61KC1xhYlb4mmQGlXDqfOmkgDWzAfSygBBl7ARK64l+1ajA8ZBDt
OMBlSW0rWflmTIb6kBuTuRKDONhTjwdiJvUj+gDyxQSitzxUIRVyRxU9ZUO0KyFxEE4MDcrLUJ58
Tpujlsn7IdKHl6qYKqcV6+JmUMFJWEzDFZ8XyQmz+aUvAfn3mDtWUyEHxwL6HC3eGgZ/gXAdvGGE
0AnlVEwpc0ex5kFPa9WeBKvGiWsqV3U6fkwi6AttnBbfl4WwRsR0tMQ1276gGVtB5WPawP604T43
h16xnjkvc36Kik1TGvdqBcORj1pLJ7CCIeIHRyWAY455n5OOeUyCHmdEYZymikZ6V+gvchB+rQbl
RPk0I5as7TFx0Bbo69DYxFlPkh7EjZWq5f2eHQ34lyg3NpNJa3iTcICK3YoWh43AWnjD1v8GakA8
omWNUSAGT/iIEMsPKOaNhIJIgc8wrobYQyj2qimmdm9SCtkGcdeuuH+g8uD0v5oc2SypVY+ZNgqU
SQKMKaVw0yI3pqxaHkvKq6Rz8ta0IzLAWVGv4kQeriO5E2CfKGAhkvqoZZO6QCdI1Zr5svmBeNQN
A6iB3Hzk+IfexUKxJdzmuwxwCY+UluAkJSp+xjKkBj2raKek/kbumyNsR6C74+zAORmcdtZZIsIc
AEygdwDqhpy2PwLSHgZIa+jQHMSnbAoyV0WwCkV5XpSQ0y3qaTR/pUKKsGhuymwal4qFZzT1keMw
iYwNxZIUSo8g3bNVrvFu4ThAQaOyeU3bm24gq02Chkcgle/OGWKpw0BGsKWKCGZa6S3LzFMymB/c
zi9JkOB/jhNeLXC7rYaAs5KdvCtvAjlv9n7Czk+zaExRF7vOQcjaWpR1dkc8qZmn8HU4agZR+FIl
8tWUI7FI+u6GKEHVRpt7NwTT11QmElGytgaaUK2v6JNqBVCRNuWsj3khh6PJ7n3bTJRs9Bn5Xmsy
XGUNp0q0Uod5oLl4Ab3MSB5CC4vJoJaECzDJPF9reUk4abL30E/FgG+IoI27XB+OJa0xyunyPQxR
QKF6REFYmqiRljPAwLRAbAhNU9Dh2zWkvnoI48lqatWTmmUV62GL3rPuv2J8WkA9nIpljUjIrOxu
lW48lIYFWl2XX9m6TlgVB9IkjfCpb9MDLy6hwjrg28zqnBidx2qK5q/hFGF6swJ5VQVKtR60sLy2
NAEjbx+BB80J1qow7VGYxLY4kKJm13F5HxXlqa+Jdi4ssphEQroczu9UGzpFXysNmKqIGDiO76+B
0QE778qdnPRvppkigKSFwPdiccOWWkTZRQASEfdfmpBypgE0kllZr4GDviQ1n3RLzAW8Ej2saoqQ
Thlzk8M8kDyhFaCyDOxASY5pNmaWA4KrNhwUBODxU7afQsJLkDuTugAr5pF3jMVg5JRgoc2xI7Pt
3XaAI51oirhGwZTZMLigtAFfIlonORYCXElTIigCbM8AkdEWBWJmjCB/I5YJw2alwasm5qTiI1tP
IrtVpTABZFL2kyK8IhJqFlugSZy51cjWfIW7AveDpepIbSzA0WLI+99lInM5lSnyQAow08cRhT2z
csgeDFFoDuFUApgNzQayvB6DqkHuuEgd664Tn/WyDbdTXPBapxTKSSjvEJBt2n6kYN0U/fgIOsaM
2GVT0GSf1oXXFJqS1JlSNf7a02NxdD/qT70etLsJXCfBFgKJNUE/wEOzDFKqSl18iaop/kqzoryp
S7P+gu8kw2pRzC8p3gn88rXZ3llIQm6lcghvE5zvr3E1GycZqRyq7rgZNzTFxu2yEb5LMCU/SCOP
pDA7c9eXIkqpWPOPqtgBTRQpjtEKxAlF2ZL33SxQoQPIKal1iWP7giamvNE42ftrRc3yyIsGae5W
Rjmjwq4qoyKpqteyDlF4bRm22qN0WlVtrd/5aandh3TqcLaS2OdmU0+ICv43M8KKn4gfiDEyxh7p
OqH6yIfascjeIuUPHM97ACTgIPBbNBKV5/BUdyK0lWGe9klTSU5nzrQTBXHCSTWlrlQD2+WcA6Ej
M/E2TZP4Woylwmod3/hVrZ6qyRCvfKVLN7khWgDRwuQpRJ0KjSDWdeJT6hpmmUhJ+ctQ9+1J0kpd
X5WKHz+BliMvT9HRvLOpNnEVtnr0oMxpN60TcP9UnLUpgt47dARsSHVDLTsmP8KnIcOaDGBkwtRo
9OBmU47s75kv1W9+WeOq+qF681eV6z/yjg0tB6Pm73/7qZeo6apJRYSOlyHqiqRbn7teXWxI+RQb
kA8O2I6vu/V8BcRau472hMTbuQtlW111V8XVhXGXv/fHbtvZuIb4eVyz0RSt83VAjwd9LXni43Tg
04nmex2tEby6OI6R0L7LG8HR7+ab34+uXRhc+jw4236Krr6ymAaPlpGzRG9L7Pu/H+QXV4iXXlGp
YZkiLVvl8yCayKatiAnVS/f+2rjyt8q6uJc38fr3w0jLnTq7k5asiWx/RcpnunE2jgzLaDT1BSm7
grW8qR4Ml2akmxxN98JIS4HsdyMtHdS3l7sIBxUz6z8lQwuwvjFXcmaK9gXYxQELloeglwAYR/Vk
J/MSDzj7gbPKhbGXq/hpbNNURd2gGkjf+/PYeZi2UwJywNZOwR00agJZnGgdTB7T1C3Xytfswgw9
bwczQS35hwHP2tjGrMtNhneUlKQ7X/gWB08XrugXk9BSRE0zdRrOuqafTUIzMZM5RP5gt87g6i+p
AynX7e3RFj1CMVaJk783m9+PeV4BXa7pxyGptf74AGEtjbEgFKy5gIVS6VktHgjmpqvqew3x9L8f
7FfXp2owjZADaLpiLj/MD7Olb2VJNklusjmmtqMMQfeAFOvCvFiewudpoSlsPw2Jgbg462zyx2op
NyYNEBuNJHsj46Sb3QGly5UBd/r31/OLpfLzWGfTHyjWWJQaUxCVjmPtew99aLQK7coOPfbNtTe6
SCPdi6/dMhHOrtHEkY+sgkq4qMpnE6WJwdu0cmzayKeI//FiB3Svft85E72T3cX1ZJkE58NZsoUC
gtK7hqL983Pze6ju1sRw0km0EabbsRO9UzyyybjwjEs39ec1hTqvKGkqSlFLMc5Hi/K89UNq0DbL
cP2GKdUhYeIQRLZqJ67vRPakuorqDY7uletauDB9pJ+XFV1WFVVVZXDByD/OLlbi5EjJEA2v/iB9
qbfZzndKF+c85MxrDLigWC+8FT/JTDRdV3VmvsYnF/aJePY0S7UO6WMOwKhsggFtpo+1Dz2iV9fE
T2I5WcfP/xePdBlTl02mj8G24+wqDSOpK+xoy5goqYINmnA7warrEqvsBY5+QQL0q7uq6izSSGok
Gi40bj69+qoimyJydmYsS5uW2akDJeeaCesM2/mhXGsXvue/eDWX4Sw+fhKfCKRHnwcET40uLlsy
TogoTLeyy/HvaLmaC9dceKHjicqGU/uaEpp9YVX4+e38PPTZqlDlKvjAVCAFdr/M3cYu1vWVtpbc
dNddWL5/eV9pg7Fwov3SxfMtRZ3NcUSmjm6Lu/ze3KnuuGlXnUdsO6wfO/KyC9+o70vL57WAi/th
wLOL0wVZqfKa+zrYE4Bbl0AkR3ut3sP4aIh2tEXCs0ttcL7tMcJX5Sw/xF9vzL/Vif3X2qzH8j0/
tfX7e3t4Kf8/6LVKGi/iP++1Hl7q4u2t+LE7+/1P/NltFaQ/sDDRU0VZrf/Zb/3vdqsgGX+wGUQi
iEbQ1ExlaXXmeDSXpqr2B8VndXk5/+zF8kj/6rfK4h8GFDw+osjgTF1iev13n/nmz0nxZ4P8H/3z
TyeLz98RPlgoFLEXsAIYfP9/eifRt8RioIivuMk93V76/7Z+I61nt0VY4l5cVz+/h38NhzBSNXQO
6HwwPy8BmZIiRtPmV+M48s3im+zI22wrO+LVxQ/y548GQ6H1oJdtSKbBvaIz/XkopLdiqpfR67Lh
nh0yQFAt2L2NVNrFOXwwvv3w1P+6s5/u5K/GgxG+fCH55adPhuobvhxHxotyjK77PSuM3W6M5wlQ
e+rm64uX99OD48uviRKnQYXHRovv8+X5UxqNOAt5cJMLgcmj1ksMlrt8gOO1duniPm8AlpvJaKpl
KEtHnvt6tnSPbSJPlVm/4tBwNY+QbhvxDi6ka/++diUbtIibP6cP0F0vbD2Wj94/1rbvA6soD9Ak
8M1A+nl2ojB6UQfcNr/i1+SDmKwHT/VqrvDCw/tpXqo8OgODKQoIIHvnd7OpYH+L/vwq7qJN8xw6
QNv4ONTPlHQvfYp+8eA+DbX8/x923CM5AWliza98ANlXtIm97J+MNSJgcxU48aXhzqclogxDVgwT
i6JiiJwrPg+X5qjea3141w/GyV93a7KpbOUZdzwHwXJ96QX/fJxgFTkb7ew8liM5FkNjeM+ww8z+
vZVQKxl3v39YvxxDY2fGKUmXJfXsirRmCqRJEd97oA6atVXla7U1L9y2S2OcXQfFoDnLi+k9tmAy
Hrvhqgzuf38Vn89Ef92pH67ibHkKJ6MwtEh6942Thki+eg6wN/nT3e9HkX55ITopnxIidPOnBVdB
tFGmDCNTviG028tR/A638nbyJBfrEJhL6Huq5dTehYHPpzkzgdFMBaEy3xjNPHtKYijmaA+l93jb
bgfNMW9YDQ/GTsUPAAdsdXGen7/BEjs4BjMsqnzsMc8XCisAfEWW2Efr0EVG1bLpN51n7KBkJP+9
2fmkOvu01v98ccu6yxqPFmM5miwv3Q/vMDCdjjxK4335aiKqWddPCZU4ySWv1L649v48GJ9m01pq
sXzQlPMSxAhrO+ZevvVezp6Z89ZW/EpyvFt4FuFgF9ZbNhaf1luqNiaHDwqNS7WKz+bnK6MQO8QB
Dio9pvUaP4fThb//7GS1zPvPA5y9WaMGlF3spzdx3dcOxAU2AcEusSlfYoe7kVf/szX9p0/rp0vi
M7lsciSJ05XOIfbzJWkCVIapDD5KgiPgn5Aovvp35/rZCGfXlDUtcVj19E4v9FrzpI3uyKfJEym0
+XZ14XixrAs/fhCl72NxOsRRgoLvvJAY0EynjCO8q+BFwP+WTz4NvS6Fd6EnuzCXLiy2Z6cZntfZ
eGcTYiqKKQyL4CPdx/fULTmTsofyENDbsRs5//a6ezba2apodtCZMp5VHz8X7WNHiCxqj98/rfMd
xfkFLVudH95dUawilaSZj2VhynZwuNbWrl5fKpn8tO5qomyobCmWs7ymnj+mxOgqHQHTB9FlyBZP
pdI4JFBdmAvSLyaDjCxTEy2WB/mn6vUE5RgFVfCRPGqOtjLXdG4oBMk30a3lki+96u71p+jinuLS
qGcvVAsqtJSD4AMa50rDSQfXAH+uOH9U4BR+/7DOzrbfp9+nKzybfmNcVZOQBx+kSgXXKbl4d+VR
f+yPFCscgyKs9sJr0KDouqU1uSIn1uku/Ag/r1g8yh9v8tnbDQ9NL2GefGCbWE8uoInDeLUsWJIt
7/Pby1u2M2/Wz9d89hIQyvrnK8fW/oOuObaeaFXspKts3RHh6Nj6l2Fbvvirwgs8zVEPvnvpNVwu
6WyR+XTJZ+/I6PcGiNjgQ80iJBt3BMWvfPz6Sv76+8d71hb5+VKXl/WHl7GP1MoqeN+nHWU9t9/M
62HPydNJLj3EX72PPzxE9ayTlSS0Xi3mkXZ0ZPb4yzr25p86J7AzZ0PM3oX9o/y53/PThalnxzMp
j9tcSVjIvPiGWKBQWWUusfUuAa77amt67YPyKG66TeURHnB5zi4P6DcPUJU/31e4dlY1MPz3Oauv
6pvp2d8hMHlI1pUzfyA2rBSnP4TUhaz73z/TS6+sfrY5CmE3CzHPlCT7yCaV3gt20e2rOtsUNGmd
FFvro/JY1std/VDvBOfiCevXz9q0VI2WG0fjszUD4bQ5ooX7VjrWSUbosaUa7wl2HtE/XIV8uejb
HC9tnC4NerZKEEBSi7DtPuScC9VOQlnYkfby+1sr/bTJ/b4U/ePKzlaGPmubqbXEtz+r0s2qoY0I
HW9Tri9Vh3+9AvxjpLMVAKU3sNtM/SiNzUjmrYoNmmSx2//H6zl7/WUsp/qsKx/qULlSEB5DMdgk
2EhjjaTpxovHb+QRrpPk/7B3HsuVI8mafpdZX1yDFlsAR1ImRZKZGxiTAlprPP18YPWdInHYRNfM
dqwX1WZZlX4iEMLD/ReYSsSPK7G/vsX+zwjfj6YPR486mSFut/5bvcmfos7BiDY/Kme4Tgkb6Pco
YOzK2lXPrEO1Wrz5N1vk79iL00EPgkmbrxQV/aINDreYVKBtez13Fw0nvLOO3Q3W04mNl8+deq7u
xbO1JuNXeR1H/N8/YXFCIDxKmZ4jvt4055g2N8jRUPUYnCGxtSeASP527VJZ2SHvv+jDhI+DmMLt
9t+a8bYIf4WMuYhWehpfT6ysmRKPDMrvymKDeGIXNiXHfHSucqNouCTsYJLv1Wv/4F9bR2UjP1xK
R9GtHMEFj73Sjf5ihNb8pJ8Z1ZJK6vz51NUsBMTLWn4Vp4upxi35jzGu7ZgvQ/DSlakpy5YsLXaM
EptooFrSq3Grjkjr2aia6nQ2/XvjXvgdX5eFDVIoW63rzKygxYUiiTJ5kEYRSVRPmhqe2QK0kaXX
+hgcqkO2xZLyZvjcS/i3D7bTMX6OtcgvhaYUpEaRXlX90WjnrV/DYS3XMoL5b/l8Rc5RLN65gGt4
7y6uKa3xgWgZ0qt0NRqwTu3E9Y+pM13KWN/+MN762wxKx0rQ07eHNeeS7/0A0aTS+HmBJN1URVqg
PiHPv4eE/Z9WM5eHNx8KwW1Dw2tI4gGiL+6iQapB+pXNa/NY/ux/pvtw0z0gml5v+61/3VxmRwBL
u24V/bGc0WXYxeYbB0q1cdO85hVAhUt4nlhy2oJTuqJ5r/zOD9kmOAa774/x5Vp5j8lbGJETav3m
sl4hKI0Mi6F7DQaOTh+etJftfWlaSefWoiwmNEixZg3r7hV+jh2Kd7BLNl376/uRfPnRPoxkMXuY
frZYMLavif9kiOcqho+WuA+lzfdRvvxGH6Is7vVWwQUUqe7XIaZtMFtsrSUOa1O1OKCwR9VSpesA
k9yqMoqbt02/MlEnNc3FN1cWubxUIpsyDe17aVFLf+DaXtJtQU7S9WxT2wy7RH/4Dwr3X41MkUVF
kyUKL1Q1P29eKZ8sII39a7f1cT7kvPBc1MaAVtvdpj4oA2AgYNrBytIz5eUno5041+2pXxkaZbn3
IsCHexN9XKEZRv8phpmBlkHlycEFBi05BIE4F3z/p9VFWuFqkRhgBXAoEKJL0Kc1ughdY5gZ2CYr
USE8t5lvNndRr8yummlhoX52aLQUNX07VTKjBa6ClHX5ALUrxx/GLVtIsf1ZBD1jqE236/HHFG5i
pUJrD9GrNoRI1RVNJaVbyINT2W0r7Buqq7ZC0P0Ogn35szCHIfyV47PZ3OYWNsSbEeFF73dplZp0
VLXAGJ0xkzp5N8Q6JHg/B0QKbl9XcoQpillGWirxeirwSh22uSLVGIHUJnYZnVoDbDdCAbRLJygH
C519DQFAAfySGiTDBdCG3sR91myDPU7SDNnMTWh6zKHnxFWNEAAA9PSB/lINTLsavd8o8lRPman7
T1HatyX6S0OC67eQcoJVSQ8/ApCmg7wzcp5IRdWuVmc4yyRqBX4edSIkDyMNtnttTgNCQ+gCH5Om
nDYxEjn7WMoz7xh3RQStAR8mYR9kYpFB1UnKy3hEmnaXdg0knKa1gmM26S25WIfozk7Wxwx93LHh
BTcDVEcJo0cl7TGCpfAuEHqoc9tTigYLaHojuMgA/s39q9DQZ5mZQhhRO0a7P6cgxY+ZAv3WGJOk
VkHzDxVA+lBqxOAhCpOqmr3Jg00WxNBAVNVExy82Ml3xQcHDDAWpL6DlrmAJnjlVgCwT+HxVvFH9
cgp/epGXdZvCh0Rlw5fAfz7HruFHiahRgp5FXMYujuj1y5Qp6a0aZuarDmh4Bs/iaGX7bTsC/UX7
4E8rTQI61WPwnLIXnzOUqrzNYBhT46LdLeH3UbCW7U4UsYrqe1g07cCkAF7uEaGFrlZcVEZvYoTU
YHlgqbdJ16Qp3A0ZpwG3UdJKPkedIQhh6ECzgKWAnqUZ24B6vRfZqOL0upUM37pO+2mQw62cdwLm
zANUxG5fNpIn7wRct9K9Dr9OdcEtV955g2dEdrD8VKUKVYVS9tJ6hfRLDWKpvE37tJc8F21VIfDs
ArEt9FjLEEU8v+5S2YWI6ekb0Zjk/Arera9dDVJjKduRCzV783zAOi4c2Cw7r+oBc6Y2bwwD0RMl
bDYFEnWyS4aGHKgZ00YYbcM39PY6yNFoQGCbzO06gqgcPFb1FGiOiqks/ZhUR7Neo1M3O1vraRH9
0ZJoepWgCoaHfKxRzqQa23quYqLaMdmV5FEHqgpITXs0CoX+WpWGRttnVRBnl9jclOmVF0p9/NgV
el38HszGGlwjpjm5ZTMiVFoqyBrbtTKhjJ+2WnUtRL7f7UUOBfWM4uG7OgHsOdgJw/TDA+j3UsuI
dNBL7BBit9ETSDAV1Iy2+TUhtu118FawDrlTZJybHhKrrNNDqsSwmmOz9nDdgjgmFDeKgmjaTkYv
QYnYAJ6CWw3uLaV2h653nNqTgIBmaCuC0LP2i1CSboCF4ZfVSVmFE+pkWfJVaJrYwQVFiFSIISeh
dtZPcnHf4R+t26XQKcHGw0pS2/ZIbefwaCog7qHhVxc+NlANEuETDsFZIZhpY1t6W8mob/S45SIM
nVJJTbKE6p6XQbGWla5oH6c8i6MQA6qk65FkHtShhVjky8JLXKnIrenjkGuu1zVoqWJMi3dlkTR5
CMk6ygAbtWCm68auE13A0m/QexuJDQaJICOCWBkEZlR37I4VZte+fhTa4nLSh3vPyy5b37gtmrDH
FFeCr5RmG78QeZYPeoiAhoQFj3EeoJ5sa7Jwl3WDtxNH2TzvfZMqdy9Fu0HGjXFqzs22CG4Rjdp5
NQa6Flk16ub2pJcI9CZRdy5hWYmmI/zlRJFQYx1nL7GhjxUXugR8+NrAkrCzzrFNM26ECtQ0RFER
n9MYpdtpTHdxoh2HQbsytPa+EDJ81XEnwdQH9tXsnFxiqgfLm/vSLNCjVECCzFYDk4VBBKLfbHjP
CVIVssKUI6ua8N8byhOaf79qSX3sWsq9uHVndFxo1EO5GgU/v1F1uBpeL7KRPP/V9LLrtkCnacj/
cB1cFCH0kUGuA0ctTWFvdpN5kNX6pmw99AToUR4njNLYTCkAm3Q6tkqQ/JHKxkOmN5ggbsUSSq79
z1aLroWSW8hqLNSIY77VYJWR3Suo+qWqmLL8YFtZCBFt/Fz/GbXc8621ySX8CFs0EUJkvQ3I2EiF
JMB7PaN6tcq2cSo8EHeiUfYbuWwUwTWVMX6sMd49dkb2y/Nqv9wFWlQcBcDPDnJVplu1SDxZVfeS
T5Fw3qilfBZKsc7hFaNoR5MqPJhWi+asiNDLUW+hojhjaCV3XR/R6zU8KUQEUK2qH1MLC8eGbo4m
s2nFw2G+x9grOSS9GnmfHiMXqIIBHNTJTJBWbvJ+/J0NyNo0ENptrTKKjachwAQgtT+jMzCdjyjz
uiqseIxnEYUtQ9jSUQZdKvBhwpK1QCqMDLvzcaMRKjRTEdHPUZTOzEdNGVqaZsWNpQUCHpACLBXc
qP17lIRZR6UmaCpSp1gFHTKrQf4GIVOP4whKP0LB6YT4YmndKPHwp5GSKjnrwlFHeynrygoBIyNw
lTaOjnJgGkcxSIKHVrH8QyQiMsB/3XvdhmY2ckF6Hl/WY9bZxWA9yXra3Wh+dD814R99bHeDho1E
a2IJgRLGoDN8+MleuA/EuxJnr8TAzR1dmC6BODjVnmFb/nTTGhZ3WBuTroDByFXZ21IpFTc+HNVB
iZ/8nh2UjfN6iNQX1L8r29L8A8R4mM7xeEx7nDhg5OOPGiS/+t480FpNL/HO2CUCR8aUGv6mNQ3X
L7gGZQUHevlJba3CEdXCqTJd3owmxsZdeTmUoy0oWCMkMnPaA2l2hVI+YrX928vRCTY7b4Oe8GAH
sxmo3270tk8eJC0pnS6rSf4wLHK0XjkvK+HBLLBHrpsMvZ1CdDJlZghLAUykqEJVrO6vW4hl9hAK
l62o7uQWl6CqsbC8ibGH17HL64oDJy+/JkwBn4eSuU8ro3yDAKdgDZ+gzK1nJmBY0x9FR811smO0
k49SUOPBl98kVli96PlUQvgsgguzUx4nP4ZcKFqq8RixU1DTEhub0f3MIUZtoLL6mzAS6kPdC88i
Sbc9kGC8JnhRqjtGmpBF90CahPwC6ZNzvc7cpkouQkkUnTRrb7QB5p0WX8mtOoubpJqd5tO1ofiK
2/Shuo2gox+iKPSvDUnIngdklG2tS6qdJPQyzUfjp9HpujvVLWKvCkyJ3EqZB3SHGwkrJM0z8l1J
Ynug7/TSjW3ymx+250b9M1aGdJj8Bqu3oEloJZQV0uJheRYGSmNnNWcL6ndvmqBDHvR7rB6kWkfv
jG8G128er6MZDcq1CiZjpDo9/kMOtuj4f4iQYS2v9Rx1wA/dwoke4czRsermgQM65iWC+FU4NtDP
1CLaUPMOD6hq1JugxLgkx6JCjXmweGbxXDSiaOvSRH8lhCcGORlCr9nnO9HUBndQfe8oc97A1xUh
SIb6LjfF9DrUm/inIsFzc1QrNex2CF5DdDXdSkMRt0WOflfgMB3ZZdwgTOXJ/jYIi+KhC4oOT1oZ
p5UhStBFGpLauE9Ls7viVCquyziLLnPfMy4HzRP2uRTjDDYIcXon4QGL83tdoZvYt1vMpcR7QR2y
3WxquSvSQp7IfpNuKyCMsVWrHG0BNFhtq5JKB+Bk54QDfpOpUUhkrXWHIvf406xpjFq9iKp6JTwG
ErqlY93Z0H9xmEPkZVMZcuAiV3przX4JVY8/CImKiqLHPvAkK3msTWx/bKnFXjL0Q6zUcburj4Ua
SWi9Jx3yVoPsVZhRJ/NRENS642tDaYuiJzu5Gg09b8ikCl4hWcXNNZTq5EcwqB43uNaMz9lUpC9a
rmkot7U5GqkcwKrh9GTMZOOk5Fas++7Av2sLjdVbyNDlzbiJCyt8wfUUgZS+Fkr/vCgQdMQmJpJU
VqxF7AxFNtKRqhBk/i6hQYf0XgiqAH5rIMQbwe+jmieN30BOMEPPeBD5kIhteYHW39c1bM7cpa8r
cxX4Ga36QyIKoTxt41RVoAJ3HunsEUqkFpzz3fN43ydjHJ23HiTGs8oaR/mINr/SahxmRc3CQ2x1
gPKfl7UwYPSpIBJmI+A6BpQieJRRq60RZPFtvVIFsh4sLizSSUUwtf1EMHVfaG2WnqHYCBPChjJf
aHD/ywhsbtjwFrDNCsG/FNW/xOheOqkrKdWTx0X1XkiiPLuRBU34XXo6dMTWRzv82Tc6NUtwMS00
1XOQduv8VxJ2UXjj+aFVqS2L6TRcoGeY1mcpuDr8JoVC6f80PHtQKMStYzYLLGMHszvfsylreo3j
DaaJd3bUC556W+EKQy6nymlwMOIpHy4qXxyMW1kOBO8PqVWIwatetBFCBKiIu6UwCtJFKdawvgWj
i+GQYrtdyHf0tboS5RAkDX8UiIdF0OdBSm46o4fI3SGfmoq20Q/1jsu8VVESn9J8xH/AygdX0Hk8
HKQuNpK3AeU105/PWKv/I8pBVj6WUOJeOlHK1JVi2hdV8c+lmWU1rfUFA+jP09xm5blQbId96HSb
4Wd3s04x+qoOZKqoySqw60CTz/WpD3UgI09w85za3+WYOJ02sA9XaqknhbW50oTZq2EA9UUYbFnh
ylK5x2pS/k3b+rk4D29mokSwDZHbshU8/XYY9GzXoLenLRvUZ6GaQOJTiMpj8POwUFNBAVJVfleP
/qWyVTfRbeW51uV0JoCxgKx1aVANcZCAtENaxeoFtirfl0SXhVeczOauBvAwansKTaPPP4DaUmqk
aMNkwU2PPYL8gky0a03eGpLqpIWyiDN/3w/fT03LYcJT5/cMSJ9nFh1keJniFuj0Lt9/P6bTTjHB
AAYC06ALbphLyhRaS3BezPgpOYib8R7SIgwm2omyKxzitYb7sjA6T6DKRjCoLcww6kXlWvRwHo6z
8in32k2ENH4eJcc0M/7x6lyEWSwUhAd4clQtNk8XmNxvk23zoNxYT/mjpMF7QyiHnt4qjmMu6n7q
EhFUB2hsUXtlfSxhrGoVkfE1LTu8B2afuIV4M+tT/5mbxMMGaQroNLs9okAvBWYemrPWUjzdk/wA
0O+yImkmosdL5D2u9bGOOdyTeoHlCo5q0zmGjVeem51xp+pXioNJfLROYjrpVHHG0OWjlTpzU+in
fl6sRh5NRTi1T++4+8HuztQX66Yj60M1zUneqN8cRDfYCKpLBZJKwGi5Kyv4dFsiDiii8cXcz1S8
Rbkdcf+0lhl4gyeN7qoARS/zY+kYiFzdxOdjeRFezxhEwdXWIp+uZy4syaI2rNHq1JfgGT9u8IpN
DL75X9y/7MqH5KhyAEob2YaTe7HG5jg52vXPERdHUBUbVpdL2XPb3wjZscZcZGUy1wLMf/7h7EnC
iULlZDzNvYt4k13l992ZdtNvJQcdqtsIbbWHlYgnkwjZYN4ysoYKuo5sweeIAByiYOhUJhEdihFQ
wXaG/yCHUUJFu5jRy+KDzoN1jWR4csrivcmagYZjypJ2wmoErqoWOJE/1xtv11xF25kq2r3p3FzG
QVyBG7zvgk+nA8FU4oFzp4ssL09Za5IyHkXVc/wzOFd33blFJypwiwfpRtmVBx4C17FLervWAPti
jKDOaV+rdIuAGSyWiyxg9kDz+lm7GjfvkM+tetCvTJtLcq+sTOjpd4SS+iHWYuWESZSkpVyjc13Z
dGrcZn7Nx+lmZbksdzu1B74XMn5z15qDZ7HbqThibT1az0jTnqvwYqI7ZJacaDsDLT0VaH206fdr
2+7kcH2PKtPUQ3T0XVrj8yJVQgPtHLl+9Yff1tXkIiDnUNJB4swRE7xC4VOJrrhfI8mcpI3vYWlZ
m4DhYWWIi8PV5y2l6rBL0jcEzQACvCNvKpsiI1fY2u283PpzMBVOGhML5Q6ywucxWjyBgjFL3lCo
HpPYFinwrHy7tQiLJWIickbZVX6laeHKDqQZt7M7pzwvbuacLdmtXconiNz3IbG3Nc1AF4Vp/Dwk
jEKqSS2SN2oLB+FKRuF7G11558JFlux9R94nF6shl3nAe0gd6jvkSyjay/tQTJK8pjz4Gtfn5m7G
E5o8cM9mFg3ORmvJ25zJfDxWlsEWmU6pYM5YSPXru+aEE25MwY6dmlntwfq42uW4Hd3U5enNq05z
Vr7mvB4+B+dAESXyDTguEEIXi7OV8rFoOFyax4zqxnm7m/lp8bmh2eUhdzGFOKwEXJ5m8jtaRTRE
3o2EW4oLlCX6SslYv2bn3QH4Ohbuju6KjzPPr/5jvXwf7XStfobGzMfdh4sQ1XnU9OXmNa2jP1ZG
AQIXwbXDbHlkzgPiJOPqA0J3mntnchZTBYYEVzV2ZR59H+E8b+0OOP1MnFgzuPWdiHSSF46YAg5h
MEBBovsyuxg6WMVBZsjvxtodM3g0q3vgq3F9DLnY50JdBUUUDixLr7nBdwUDawRzjI1xkSTHOL5H
WxD8/WrYk/UBI5h3L9kgyg/cEYvdHgRinkaj8UID1s1vlH3KKMUtskdg79fA/ifX0CLW/Fs+LA+M
YzWSTuNlkBFLp9ff1K6FMVJfpO736/D0DlhEWhzLuuSpoTrMo+o35U22jXeNrfHCLm/XR3UC9pQX
wRZfTpSaFn8M4yU6xJeSq5yFr5Z6VZw1G8rHm9D7Va4AIVdHt9hmMvdbVzO6+a3b3c2jg+Dl4pFw
9R8skJM9vRjdItVES1UtUDwimOjkTOWN4PBQsX8Ju+7iPwh3chW8h9Og28yaQNrJeSV5k6ETTjzi
rWFL/G/ed8JOBs7//SI5HRi0HqiMMP05iFn7n1djM5i5n5nkXmno+PKl0q0cImt//2K1S6M1ibQe
n+Ouxjy83E5AWL4fwclNxtv14wgWq3zCUTQow+Y5qq5mjW3TvB6yraRaDr6zbqA8fh9tbTzzn3/Y
vRlF9EaKm+eKFqY4WFs9vvs+wHz3fbobGY7Ca5Tym6adSrT4QVX3dTk9J8BuB/Q4MSDEtkY79+f2
FaWttW301YAUUxGVmdyKdNhiG+E6oWHAKT7jTmdXanWed7kTKPgHRePGgvhE4g7mCedNnuVG0+N1
CLEDfzMrWYOhnRBa5HnoH37KYpNhCF32ZQX1QIDCgfC52B/9SKY/0vyOxt8T7aQI3ahcxm5bu82R
RgylEfHXuxrDP8E/FMNd3Sr2NDdyrZ/ff5UvjrfPv22RskjqEOoIRD5jjyuPtg8a62E2GbPTR09y
jbfpPrs315hpX3waHdU4xD3obiIgt/g0sl5YEbi8Z8u7sDCT7b1q8/2ovtg6usrjEoI7QCtMFz4v
ZrOjOdQI/XMUF7oLdo8+Q/Or0uSrIJyOgpYf23i8/T7kQqFn5ohbH2NqS2RlpcRlUw48nscNZaYt
XnmbukEgved7glauD+IeDMQs9rv3rH4rrPh7zZO22F9sLJMskH/A4l4ceJGo08/KpGek7+2QPP5h
ZoKsjHGet+9iLA49VZ6KDAzXs/9k7uaKHr37W/PVeoi2ujs4zU8rscfbliz0tj9bLcuefFSd9rbG
W0wml0FNbrFSabELftAasJ+NKyx+Npk7gQOcS2qUMJEvvRSO6TbcJrs1nPTpjbyIPP+yD2ejFgZa
ToPkeX5TzKpd+a7Zq7a1y93sfvWBOx/rn+Z4DmYgFUbiAZ18qb1iRkYkxaLOOkI0jwdMoe0MuCXz
HSmAOfv1ryrp/1cf+l/fiw85YVF9kh6a//W/lIcU9b91ziZEMtBNo0w0s0z717p5d2xBiYiSNsJD
fB7N4mj7W3fImDXszPndwv+b/+h/fF7U/9YoBFFLQJWIlIT20z/QHZI/r5CZdIHgkQJuDlkSHQGk
+Xj9sBxTeuVmlWgy4mOdW970m/hJdWi7ItGHmj25InvfnauTMi/62K3uvc34J/+zchbMe/3vdfr+
K1R6S1RIdI2aobI4xA3alFbc8yvmV1SPm8CsETQXerMN4IX+YXVjfB0QCR0RSShaCvO0fBj26Cly
NdTgXDCV1aiJSvs5VxVwD3inJP2z2s//jO/vcItZ9kslGnIPJ0KB5gG4LHRu1+7ezynRv0KA0DMx
0wEWv6zFKBU9cl+QFGfcqT86d6Bql1zFF/rLdCON7qy3pGzGPd4KwK6//3rzjz/5eB8iz3P9YS4R
IAnm5cpcyj+k/qU3f3//98tfD20W+ODMniWQPgeQ2ypSBIUAI280NOvx6KMjoG1z2NCRXdvKw7C3
aIQ0l+Y+3vo0oDw4bTvtEG6LH5mzxp9bpGB/TTV8HjYt1co57/j8e7AzS3CUmGQ0ZDnDSwf9jB22
1vyG6I120KWyM3beXn5kw2x1Ay30lYzk/XZazjgpAkVLSrQmxKLPPyChU2WaA9tlfooPE4JhpTPY
YuYAqpp/RutOmxFPeOnmnypD/DX4j7EXN2fOk6tvhg5TTe1Hyjxr+W4MJfv7T75om55GWdySeg9w
SRFBEGFmd6kitTLt8gM4DHedT/I51zkNtVhdYy/AeB2ZTMoAzuQN17mUbNRVp9evdsmHeVumdNoU
TOiTEwYUbO/9lKLXlSlbGYe2yNnEqPeyAdIMi+KvdpnUTq6BkwNlw4n26HCRAvwIVrXk1ga22A1i
AIzWnM9uQfmpNaHddWtKIZwYLOjlgicXRZ15VrY6eeqLFSxVAcMcB5IGVlxSW92OTR7hdxpZuHb5
un/E1gG/Uc189S1l0wNKh18QAkgTUGDGbxjvGCXaeRqWy76Xw3211LMgTk1H0/3hpTZ8fZPL2BSO
HeqqeiUYW7HORCwftdHFYxZgY6APWODE1p3UeRM4MR7PvhZiDywY6VEUjEev7Teo3UVYqoz+NhFB
vxdtyZUS1pimcWpcJ1QK7ZB/f6fOL8NBLROsr/HXGDRRwVctPHSSmhyGnpOtyfXq1xBZ3nZIJssx
oGLYuPxFe2XoxrNiUoS9r1bmT8/Q/yg11oqp8WIq1VnSYX+WKRBQJyUGKple1kmi/UiqocAOCbub
GnPb45j4067E38luKQs4eYD0Z5LLCDBkXXiOedXByiT6LlgBSSHWMBGCbF7t7bI4fDbMEHBNB1hP
rIONNZrN3iwT6ZJG5FPQCgd06rcSmLtMB1XRhteTSeoZCdvKknZlLwA99NLbOsUgS0sLh12xZ/Yf
Rr8BmdWnrq+K/dMEAv/Ma3j1dPWhM0vDTkzv56SpeOfKZ8HYXYKBUjb/pQpeKxetJSGVX79EY/M2
u4XWGQSJGujjf/WkZH1g+Pg8JGBVs2Ev+N1NK4JwU0T1PFQA9te4JFRmcF9PqolWACA3fPFsIxo7
TGzSF0HVrv6rKow+FytBcpKa4owO/himh/pU6nBlsjzToRm16crF+vmFRHbHXa5q6CbqAHOQoVzs
LMny8DdDUclJoKmmx2YfH5AN39dr1Y3PhbR/xTF5PutcZ1wri9fmKGWYyBmd8p59QRbdhnSOHMmJ
zsZ9K64MavEA+ivaLGCMJJll6QBWPl9eM9WolINBcsbjLLyHf1G+AxtIB8eTN+vV8q8m8UO45bnb
j/N2LaV5EufWd7ybi7viqrD8fOV+PKHmb0UqySSiry2jjfx5VH+vQxEHnWZef+AWnU4t3woW5vdH
/TIfmmNRh+JTKbMw4+wP+THh+nstatKY4ksFNaaa1yH94acyGmM3ntfo9zG/mEZW4SxHNtseoO72
OabgG+RgeCwhpqts5w4HGHVekatrcU68F/P4Kc5ibNaEQXebct52W2U7HTz84g+teIa11Izzybf9
fkoy9/uxMWcnUS0wdyA6aXvxolpCz8TOCIrWC3EvjqSHMrKup8a8aRvjoQrF7dQq2wgDQbdO6vtO
EMWrLjKaHxq2MmdDhNfGNG2nSQYXjKfllT+bkcVR/ysevV+47MKlKOMtbMlzcezOwqp5kHBJbnzr
rhjGcednreLKvoaCwGR1jtGH4U6XsfdWcNKUU2n45Rm1cGYF5Q0V1Q169C9GSqqrg5xX1fqyMTxv
iw/KAMI4P1MAzMyGx1RDU0m+8sO4cYq07EFPG9PDWE36JoNM6pZ+fS/lxWsFA8wOWvBSYhtfdnXu
bTrNgBIXCrGda3rxaDUibEr53Oqs+07HhkQcKusi76ucSyvdi3J9aco6uEsYRjbcvoeQXbKbsm6k
YWM+VzAOeeLuE6tQbCMhXW8KHcmZ0PN3lWi1VyG47G0vGsNDlovWZcklAwg6fxIn7c4qk12RlKUd
+dZLIk2AjMrhAB4WXxj87QDdquq+DoMf+QjbM0mU4kKW/TtoZTupGSVXaNXW9sE0rx1hX6Vac8uB
Rw96z9ShP2+Gvy+VSTauIFG+mPNlIWmDNfuS4KaJ9Dpv2jddKjbBfMUgL3zezJeOx+0zTrzDuI2+
X8TvyIyPO4eXPF6yQAx4EvAAfH9FfXiGJbFqhW1uag6Od+Wm3Wu31XlyXZ2XewD2bNnItZzmDb+Q
t2d/g6L5oXSLs3lTye4AvIJyl7uGWVkeGsuftNjMPsZoxRRamtPUwy4dpX2rZVjeY3aIuVFHTwqj
48JfK+4tN/My6uKCMco+MROPqDlUCND2veetHIZfPU8+zvWS+Z56sdGlHnNdb7RHlQssORscz2Y5
ryrxSfMkffNdTxA5fSUlVJY0Z4TGeImSnavs4314JIPZmc/BfnjTjvObFwbZypL6qjj0aZiLBKSs
Uc9KKKLi4eBdUNFvtrO0nWT7P9JjdKW74yOnmtu703HYzNWhdl/9Q0je/DxDPApMF9q5iCzy5P28
16qx9BO0KlXHqH9Yxl2CvvL3G2dRbP8rAncO17c419qWupRxh4Njb2Wa4/2WrjEy1TbhXi1t4B5u
taGj7j0riJOF7loRapkyzCPDWpkM1KQ3B0jv88giybPEvGJ2MxLrwriJgquoD7dZefP9AE9PK2vO
67AXAN1IxXBRLVALGHqWh4tXUj9K8mbAnlTULv4vYiDpSTXkXd1zMRYctJQyl2BKTOrbmCt2lMRu
MyZrF/Xp1mYopMIGCZBiIn/zecpKrIG9ouRTtUfsFMObufABrcbujuNzSX2AhGT//cC+2OpA8OdV
gf0ElXRzcYapkTYN0sDsCfvZToSGZkZlMrpEK32/2sxaIKre1yKPCwqh77VY831HfjjEZW7zphE7
da5Ljs4stQ3JXL3FM3Bf4BaAcsuqxuAXc/op5PznH0JiLWYNMy/GqZPnaLxPq7XnxTKlm3HbH8e0
2MG5PhVmomFVOKsGbN7HxPMiKB3lOMOn1oVmv1jwyiw3T92cp5P0LuTxYURqkdetTIfOkRITM1LY
qnXllI28dnDMx9/nkxlhKwVkNtVNBrkU2EvUlCJcoAH9PhbnxnZmSvjns95sjKL3WtXx5N00T6Oh
gmia9bRmnsTn75Qnnth4BdHUHzMEfryAde0gklQf1DPfTf+srPv50XcyuA/h5sF/mMRQi7qyN725
AjeDW2t8Ovqtvk2OqzvsNEsADsnxbllIOWtghj9HqvUCeBUYc9Y8pPIf/qW8Sy+LLTW/d+oJl8y2
dtM7+RxK8xpw+Kunr8JJYtIDoQ24PFA6X4aHX7Rz42Fwi1/1Dj0tXr7KU7Q+zrVYi40mSRjmTZ4M
WxaLs2Kb7urtfHOjRbAubr/cc/MT8eO4FnsO9FRQyCaxeic7IC80i15ixeQ2PCpAzq9Dm5anyBzw
Y61isTqnWi4kL6YO02X0NhVseAe/XvOvOtkDNGtJt1FdoxMAy225VKjzUXhve+m9UlE7xVUOTli5
sHbdTnywVprgp8/sz8EWQ6pwZ6Y9Vk9OZxx0xCt4F6nmT9PaNaO5+363LbfAclyLzSYOU2vmMaF8
KbwSkm5XU8ysS8p3o5MEPzCkvFGFx+9jLk/JZczFXRrFNeKoc0y9/oPrsG3Vf9r+7fsYC0TIXOz5
PIeLNS+3TZTlDUHIBWbVdDV258xV9F1jJ7tI2IRIc6/EXB7Ly5iLtd+lqomuIzHnQjiOI3Z5Pzf3
UDJyi/UW+zKLW0ZbZFdBApO1nVeJOnenJjx9Aa/P5g554gQJ9g6ao6lsOW9Tpvb/40gXWVcl1kne
RsQettUBk9sIm7/mODmKM9zzylp7D/yb7Ucijpg21mpLbf+R87Md2mKeWe1Z3ZQ76VJH3Traz3Lx
//jC+2tm/462mFlTGmO5GYnWYC9hh/sEDolqm9SP/6Me7dfb/e9wi8k0RuxkvIlwsIIPYZA+yiKa
z94bui7PfikfVr7d6W0w74y/wy3yyqrSJBj/hMNsnH0P+yB78G6HjfRzndv5bz6cASvw3bzNWJwv
ahqg0IGXhhMdwr2pYVOju7pNTXSvCs76y4YU68tNaPEHVH+QaVtSKwRdCgVvjKaZBv67HsdfUWOi
0KRjBmSnGVbtuV7umgzENJLsqBOG6o2ZCX+aDuUPuaSWVLEIN/n/Zu9MluvGsa39KjdqzrrsCQ5q
wu70jY5aa4KQbRlsQRAkCJJP/y+q7v3DqcxIRc3vIBW2U/bROSSBjb3W/lYn48pyN4FJN4ha32ta
3VUY1eeYmY1IP9Rpg0dgpwpZXTjX010IQkbq9fUChSTAQRVBixhZk1tBTIDZgOcKceq6W+pwjrq2
n5DyW4HfIoEJGoGLGvtu07QdSRu736oaU+RiKV+Fv9x6ROj6Lovd3E8HNcZQJ7FikrGKZhuYBNob
+4LZd6Wrdk4AQSV0q1vjOdt6YacZRLZq8A65Hb62poKCo8wsGLxtXxZHoet0LN1EsBHnM6Bbhnpy
E4dODHiUZoxyeCivYkEjqxuKfDuac7DzVA77cAk9iuGH3XHHTZex8Y8Y7u3SStt8Cxh9vtHUsJIc
RJmt6riZhpMxX4uAyBPkkO8WLc6+QMdddt4M1IFa4nw0b6o09RXknDKTpLN2OMGy1F75FR7InNWi
LogKnuOh7YPI5f7OWMKs9serh5HTqDYEpsLd8VvXo5sflk1SlSHZcK+br0MVmJlVVfOW9EWqVvHI
oHDTttCTylVYCqAw2VCaJNfJhCNmYpj2rlrFqGaVpcQqUFG7QWya7YOQAM7dhkxLuy9XSataxS1z
9mB8gN4FoRDwKQhgXo9h/wCaWEHDn4vJQfkIv2sDm3i7ymf2KqQBNVFtQa0wooFB0bNYZWST3wyP
boE881WIU6sk50GbG0YU39Iwg8wC1yNhhoDXchXz2oamesZAqFEBT8TOFdP+oQkCFber/letSmBZ
VphUYQj7XhXCEFIhGeiLzf3DIh7KzvkRml4JnzuVccEW4OjK69hjNrBxlo2zqo7lZEPi94FYAVAJ
0YBOSHFBGIgZBGNSdef8qgP5S5nGleHZ+yag6KSicIH30dNRd0V7ZKvcifx392CE7a9wlULJKopy
qKNw0/6UDXlQq2batujeUjFkWDfe+aqrcn/5pQynTj3qiZ9SuW3MbZG6XOxhSYyCRe+JNxyNpn8j
5nLuJmPZNxRWydnNQq1eJ93EIZBYXVseetwJqgg3Fq1fphb4CauJwc3JDP8nAfcOqQbJ5CFTRY8p
7XW21NM+8GBh1U4K/MiBiT61ixcppq1r0RjnyrSVRQwCS9rgEAsf0a4q6hStpBNGajdT3aQSfBPe
9Jt6ntNGWdvWBHkjDO85nmFlmXE9mw/12A4bOYVASbKT4+Y7DHX/5LlxKADZ6Gu57TyJcQ4nbcht
sReMHrNnAG0it7uYQ/AaumqjMEEDPJgZq4knYq4gDOoqDghyqmd33iEmLMvz+TDgD8GGfIJWnTYd
yyrMvbRozZhD8cSN+QxIReIqFeOwcO1H7HW4B2dmZPkKt6mWu6Lwd07rZyZ7AMQsy126A89i65Y/
Ogq9WwcH38k72I+rtBzMfb6Se/sJCyU5LBqR2EG5ZG4RgsGCmfSuS0Z1T/Jwuwx2FnoodkcVFTXY
XPzV9OqkQuPRRYp4aA8RsZu7qhllZBUAskyNszd0F4XGsC0QczhY+77v40n/Mo3nSpegSd1QYG7k
moJOnUw398jvTdDli0dFoPuyCBCnyEUOkcmaxMjVxoSZpBnDtDQ6vJG3UAIDEjQTbtNHMEg2bavB
uwy34Py8SI32iFkmLnlZOogcElpi/ToIth0BZG6Q+jib2L8J5AsJRpuq/KM/FJu5pEmOzvNQBxuC
PFpft9E0BatYlw2jY4N2ZQ0AAxY9arawjaltJ2AyJUVZbMugiH37artX4gP0rvl3XKYkx9JhzhX8
cuKb3XomOEoY7c31EQkrJkx0eWKG93nXnAwP8EaCf4K841/XQFgt38oCtaIRsKhwqBvpafpmVfkl
GByd5AV87cwf8tTXoR95vDdTm7fkMAi32C7AJmPZAnilbNiQzUPT7hwVhsfFmYMLwfBYBFLHnUOL
q2dTO0MUIMgqNqiVTJQWBrnxDb1dyUjRbkhQZGGxzq1fzuTXcdH3ByWmhKjqCsAjfuIlZ+lcAexU
sRLX1cqNm1Mu5YPf9vqhbHt5GW0Appq2AN7Ty/PmYmolMEhZcQGDRYD8HYA9I4hYwEs24RRL7W2U
DWIauCkqBki7T2sy3NeW/71X86NrSRGHVb9FRtB5KiS76q67jAP+utmWflKGziVnamd43AF8lGbF
PG5yUp6WQR6V8rcCWUOxMOilDoK3mdGXhqp7ZWNaoJ6AyLK9ZteO3gFhu2eEkW5pU4PtWKdVb8Iy
cx0JGJCL1zyBiZOZcNxHLjAftlNvbQWRHzy/jUKKPMByOa6c255F6O2kcjTwTBhZ6vIwwWhKHvkT
sq9U94t6fAB7ztTRbMyZXeNvmdrc9RZ7wKU1I8HYde7ntMAeInh1CARyzkqY6H1kaYFJn9u4d+W5
lNh1c76MG2E11tZdvB2Rwy+pjY1fOHv0KVmU205WWwa4sBMIpp3AtqbpriB864/21jHsbQ5mUbSU
NK2qatNidrFqyq3uy+qYO7Ba0PYAiCjSRoryZ2Fjfi1HnukCfLCprG/FUD4xHWIEQjyZS4uEm0Y+
wfOftCZ7rzryMhf+WVvmoz05+7ZejstY/vQU4ElLobCsVMu7pv4Pz8MculxGgVkJti07/H9V8ZS0
eSrsnkUjL66lC44LZ0NKKJtjNXd75gCi2XGgFl25polZqEhs33wyAgcQ0VlFYwsrZ53jJDa2D52x
JB/1RDvdWQ6zdqBzNpEOpsPo89TrhseB0e+06wC9CreADd1ZIxBE7RIsCVCfu57Yd3QIfvRYGDju
sKnNb7BXnixLxSGjJ3z3994Ib3lbn7XuM4OEJ7SPn+0QnLm+3VVTefY4TGV2+FB5gsSUWA+gnH1X
M4DfWgEJzg0UArhjgNmr3W0Y0DHurfFJGGIboHqCbygsdzZB73Lx+rNT494U3kyi3ip2NJ8TaxlP
tVvAAFg91lX1Tc/2BihK+AAQTsNH2JNU884McpM5HjkA235gB3/wG1zdtjKQDS9IDo1UnCwbwvQs
q8gRM3/uVcd2oPO+Tv38ILSzmX0vGXzMuhoCrhqjBPxunUFf0X75aCMUBzdBWcgENwIktwnIFtyI
kzbeOVnuGxXoBN9xdpb5h7JBOZog6LrODNZVGe4bs/lpmtM+9Iu0WNwKVMRaR6PD9gOwgrPj7PFA
7CeiSUKDBU14gQUT+340Ai6LVdz93vn8fcSyFJFGxU7rYHfqlgN8ZEdXK2MLETpDwkQiZzw8llGU
kSvnY+i3Mcmnre83j3UJvHyVq4Nl9KegbTaeUZ+q4FcD6m80eOKhc80tClacEToHMHBhoxVEskCq
78CWPRGT/cgZHFEgZWLRcownL0eyGann/Tg5x1C3p5xhnFYHrx624Kpz3ovRMiKr996pOb/1qnzV
FEeg0oKIHbTGo6PzIrJ5cWrXUiE0+H0HfmDuk6vRsIPIiyopwfoCAFf3aYM7Wio/SAxwfQEfs3c0
YGYKuLgJ6bteYkurpxKbi6F4JjXOPuF0J8f8CqLKK1f1o0ukiEgVbqdZHOy6ShvTSerCP4A3h03e
7nso6+Rb0LoLdkm6YZ4bu9x6xmaCRAcLL0oa7wnCBcYmB2jNS6mjfppPPkdOmT/gk5iDzeQ2WVvI
JxP1PgCrHcht63O+NDcs9UdwWjOvGBNs/cA01Pwwd8aGjOQCusTO8lBslR4qQ+w4IgbLj8WjKbPc
ggCKGncZ6bZ0xhccCb7PHhhJs5VVvMcJrd2CxxnlZHgegvAZkktidSoC/uzQFfVl6OxXV3tj7JC6
xP6Vv+Tl2KRDi3dUtMamM9HCUQ501ZlmnTGNSeWjfpj4oTOKN0vlO206F8dXP2Tp8RjPGY9Bax6S
BoG4ERBxmL+qf+UzKzaTwV4InzPpDlmJtcLlCss6hWPHJi62V9AVUe3pYtviI48xpYUW+Gx8gykx
tob+3AFCHbVi0xnGt8LNv4Ewi9vKei8q0DxHMty5sFzXMDxkpaozq/H21K33JtchvHQdzQiCu+JQ
6A7Gu85PuNW3Zxd9+Fi2JHOHaiNG52lsvdfZ0g+w34w4bRVn0mF4i49GbOjGjf3BhdmZNg+6BXCt
9lDvjAV5CHr62tRoe+Eu4fUMuPXkgI44IfkAhWFgwOcnQTaPSNfya2j06N0U49kfIGoB6ppjCIXc
WdVEkkLg1OuKvolpX3yvaMczYaJY6jme2MqflkSWuTw2Jf82M4Ws4nHFX2DaL7bykp81Pu8E84/i
AozElvVF4pPgQAzkG7HiV+11z1g5n8FaPy1tPmGFCE4mKTNLQd8AsvFmF+yVeTghQJlLgk5mY1N2
kbbVqfIMbFMNeaxsBxCuvGxxR6l8g4gAkmBxBuAT9rWOHE28w8Aq8s1Uiiuj+SbMJxqXBYpN7oYX
FKIbvwZCve2MO7MfDrCGOuAWseLNA/D2Mola3PqqBNQUsYyopablFRRXbDRud/PEvKuc6ZKHi7vV
xGAx4Hkgm9coWM0BFnPTnp7FsDw6Awg9iDn35iJZPF5EpsJ1VqUBX2eN5DbkJdiaZdOE8zfcJBtw
xo7MbXeoPF5GtlyZG6gUKLwHR9RPLraRakL2gSbHsu5uRunfhhD3ZsOvQItvjUK+FGMYRp5tzAmf
3LcZyL6kCDwRTby9cwyRMrpkna9uwUgOAIxtTUJ/DCPBdukAEFH5Y1SO9c5S1l2Zd1UEHnYyD92+
5jDKTlWPo28N7qfIj6qt7mtv2Ig8ENinKgIeevBKrO5KSQUadlBcJDK0U8vSqw0eoGazQOij8iZg
OvkeS+WRg3wdzOqeU/dFCwvM8cBGseCAjEum0AQCcXxzW+usw/zNZe2OemqDVTXOF//E1tOf2WUT
Z068yOpuBKYUV2PGxc0vxOl2Uz3txkFu3Ho6jkt15SJMLVdmg6mLqA/dXV6LEHR4WOZRQD54Yf9s
Ve1dbYwnslaEttL73OLfeT0c5yHf9d5wq1evFOLtOSp/UFC1gaeqXsBM7xH0PAwbL7DPXThuSqdN
B+bsGFv8RAzeVerqXJAlm3NyrKvuSEZz52MXBbASN1i5NK9hABTyZCQYq6gjI6TtphIgJLouosHG
MFO+84Mw77mY1Aq9DW8GA/2y52zT1oD+TWtjAVxLFsMkhXVP41NpTbHzCFohtoG2S7eEeapl8Ksm
ZOsb7lXK4K2HOS7uqYSv2uJVzJfZiWsU2lHflPS2KBdBuEHTpt0MU9wUtOGOtZLFYOO/wyG2q9vw
KEx7fJbre0KlVR9p3bkgwBogYClg5mnnfldNr071MvYxm/s98NLdC3CjdaQ8CDgBHvl0gdcN0jCM
F9OIAQbWvwvWP8pFzYkYCxwEJ2qfFdp9oGE3OjJyuOiq1U9nrc660EW/pVxXUlfxKe1XA15Lu3O/
WvIck+8WW/4E5DLF/Xuj3DYORLj0e2fjHOyv9j5YMbDrrJa/fDX/1ULOmx5+QA+7dQ5/IKHDIYdf
cIRvcFgNhH/fef4L3Qcaq2nZIag3PvLr/yi3SrR6iE1DXAj+sxS7Lvxp8y+kpT8NqKB1j5jyNeZ6
1X/sz7MIYTf6agB/FkLBkvVn7+htV1KLTPURQPQXAsQOhKAMBd3fv7c/uTXwwi4ihOAU8jwLZpdP
TfzZtQQPUHt9aD/ssPp914lOjfCwr4CJn6BFH9rWH17rUwffLziOgyFeax2ds44Y5XynG/RyIEnq
K5abdLKzr0gEfyWooTW1UhIBRYPk+sncxnKu5ykwZ8jyYufGLchdh4/8ojYyH9A7TJrnv/9I/0Ka
/P0FP/uny8BBzgKo0dCYxiOHag0T/67ef5XT+ldvDDkCK2GEwIprfx4B9BdpTKqEtKvjMREP7Q0k
4rQ69YmZYZcYvrx869zlHwwOuFUQZg/XBugRMBR9aCa/GRyaiXOKM7Mdk8cJvjaRYXYfgxyn1ffF
ty4yKdH6icMdpIg3pEOe+oP9lfvgL7RDzI8hymad2AtgWfn0KI6OcmdQsXC+jQaZrC7NdVqHP9k4
t0dT3O+8LkLgREbT//ii/uGFP91FZQGEjBo8qPUQDvvNuHVgim++Bij9xWeM14FBBqZ4KE+frWeS
kYrKFq+jY+fDJ2nulniBV1DCgvAfAmo+Hsg1XjpEM2u9tp9nWRUfa+EYtQl3wDo2X2aY3UFXDYOP
YmM8qC/l179YSfF6MD54cK/AwfJZaJ4Zz1W5oJ32OiVmyrGzQoAtYmvlYIKxkuE0k2EX+ftr91eL
a4CFJyDwQKzsuU8LeI1WW5MTDFC4p+nF3i9Jt+f343dEDVzMH/kN9LJNflc+fmXm/QSIxceLzDRc
Q9yu2DtAGV0v9m8PjNP2fr2I0IwL5Hn8MC5kb0QoiTGpOz6jp4tIVYSyJBIg7ww9rTj49tUF/pPH
BD+ADy7VGmVv25ip/uMPUHJ7Bgk8XOLOhwPPFxECd774cP/8EhY2LmDaMA6DEU/v03v00UA2Fok1
nQ/PZnPR05fW4fXq/O6r8uFy+v0VPl09vxudxTE/do3VxlWkVEcrAWhK0Wg/0NQRX7ylP98vn17x
kwej01KKxscrmnsrOTlbN0a+5WoG/6D5eTGIvvxrNtxn/9jn9/np4dB+GUjPwau6m2FXId+7xpO4
Tt585R/7k26/vj0sMZjDXeMmP+y9v92W6K2WjtnhhSo0Rkh+ypebo1kirW3hvP39o/fnPQOvhQfP
hGkXlEnT+WRJaJbe9IpmQEMyZm8+Ngsnw6zboUIrAqnQP6aYAyK8n4/DWR+dtLrQ9Cso6p/WHPwE
ZM1LBI4I/31so7+9W1Yb4UDX/T8vXyXqbNlei/ar8u1P+9LHixAYHlbPq+N+2pcKFwz1WS9zjNNu
p1HdICMUj1yRGrciDu7sl+Hs//DtyP1f0tL/AST+EeJD/O//JTUkb8Pbf73zAVkK57fm/V//2Mj3
HwXuxn//2e7nvz6+/98ECTv8p+8GZB0uA3kNvCM8Af8mSFjhP7EMo8r+n6TVtRz+H4KEa/0TWAPM
3WNeFkU4bOa/EyQCFFqozlElOx74gv8RQeKzkcVa+bxwpa7UcMzDfDYFuQ788y7zDXQXEC1SILJ2
8Rx5Q1MqoSG6fHyYqjRHzFeEabUSfT0MkSFk5UF6WL1DypHDMSF9lzn5pbP8KZHIG4trPglkPMFk
LZ6DZQ6+qrzWdfz3VXj9ofFh+igSfMzWfuY/8NrspTULpI47jkiHRl8cjhQZNiM8g7330kDNwDwn
cYi+MhKCvz/57dbNv6zn/+rTA3MdFmIULMC0fNpwsHIxjB5QIyqrpUgqNk+x8NDeXAazgHHM3Qad
/yvUWHKMEGoI5xOMLOHy67eb7frvN/5fkKSubcGH/l//+PzArx/Hurl62OBdbLGfFmuaU90zWgB8
I+YukqBEwDxykh4Gj92GuV+d0oLP2ywOoDDcOhi6C3DngJ34x518pPDxV3bHIHgg2EIMaT5S980Y
5UUaQ5VadgUIycL8h9KsoGSy+bttlvS4YBL7MFt4w76JZBz9nAeJyuEpoLl9wnCixIiZFikMSSS1
oepvKy1g9Cn7ny2dItFb1s4yPHuLxCCa4raK5FTcRmweO4m81MMkwidTTcaedx00XDg24gHdwXsT
UpRjN/6hEBZUkP7MaprpsVMZjDhFZvUkOPLqJNuxObSyicV90yzzgx6ClHCHpD3J6dGrw6dBaTep
rebqrTNQTR0iC12bEUUETpL7fo9Ni3lpT8dfqmsn6Ei3EvfetdPDRuc2O9GytDY212hDTxytVKuP
+yC/H0qD4+fCadrKabU3GhgMFn0qMUl/kvO4o7U97LSH2WdDAacbNHqLYbku1rLf+HRezo2LIDbE
AoabGvFig5505lnFSZuVmYIXaEz5oZc0njig8ohPQSQ1DF/J5LOHClJb7W40cfON53avi7RhSw+8
Z2pDCELQ5KtAtCH6HkgXCRnnCZwMDMFICsglZozZ0pEuqlRX7Uy7c09uAH+EE/J9gFZWEvQlv3iT
uCKqrdgMrdvvQ6G2E5lnNOH5AqvV8Dj5Bj2Ekp4pukCZNcPyID0XIWuj15x9JG0hcYjYe3TbxKye
BIBSKrfnzBHhfD8ESCrLW0Cu8nAN7RvkQ6s98zyNwj60hn0I5FxumGMh+7wPaYzmUZE5psG2XuDl
GxfBGLFdGDobuSAb9O1fGnuc8freLxo2456gBR4FBE0jrRAMBQkQeSahvBvWL642XlxLPc0W6fY4
IorYMpowMoNRpAbCgb4oAz9wiL8veeszt3I7MYsBjKH7+bzb8sBuClHCw4YwW7cud8oegJNHIsk8
jhvQ992DQzCMKYPXQrQwNTQtPY+1factFqul0Q8aQU3lGBZX+iAKm6QzkkCQzhS1SDQ5QHFq0u7B
7Hvw94nhoKmIoB+2iBOkj+KgSPb3S9afGga2vULf0OvxkRsN8ven04Bpzm6ue+TEj53kMPnx8GTc
ghlNb9W5CiOHYwAF2NsZeoTvYjzqANly6HTStBXVF5kSH2euP364CMA0A8szAXLCcNKnGrvu27qw
pg6fmodKFAcY2EoG0uxmxcRlbhxEWMHHeLTXL7lLEMyE2dJ0MDzlwsSXVWYstJ35ViP2BDmOJ7Au
8lQ6eK7RfM9LZf0QzlhD0S3CK0PvzkDfgmo3SEEibI9LaTpZId2DNtR8Gjtf3EvdISGugYwsQRx9
7CtgYgzL/BU4vR3BqkCfbda4KaL6EFcnKH3mov/WLK28ugQf4VfX6nMXCTNbCMxFL9DFqAfG1j9d
LNzPE1mQ4QeVc+mzEt4+GtT90RjgWmZW0EUDdVkWCGQxSeL9KCZSvYell7Sk1dgXBkA/Bi+4QK+f
dwvqhroZMcna8fri+g1NrJLYD8UcPBvWzM9yMKabILzJHLrcswUTF5XvbcXAoZQEE791FK8IwxrZ
1EjpvCf0ioTBYX4XjudfDK2DO9Ai9NnJw+zjdxUd3pBOMp/k4CP0Kfex/qyfql9QYEeZc+HQDo8e
ct4i2xnM1GSjnWB4hjRJl/v3tZ6apAcq0tYYgOZEkjcnB5nIdZZ3hv52iTlVTBIXd7DJXSQqlq05
ab4RdjAfi1YXSKpjcD5J4m6hpWBot5ihLpoKcbja82NrMsQJcaz4sporsTSbGUbIfrWlQhCgEaBT
b9s8KyqM2MAfCySxWjA8F9bkjiLKFLFVofhuIQd3UsNV1C29MhGUCGecAQHp5ckXhTwZ2B/h2AQX
RLrdCamjdoIZBUwH+Uuw7QwzG2Bvb0VA4J2lKhPrx2NNeZguhauyHom3j4Ny7wzu+vfhUnaJY8LS
amB1hkaDm7yzHu6Nsh1xZQ3v1lbSvwUDjFsgwiBcdFDQF/vyZgyFvKd6IduRcMTp6VneAXA2nwEC
TUHWg7HGFvIEVzK5g2f5AECm9ZgXByAb+gM6mejhrb8qdP9V/5J8rijB57BA3cIwOMZSfOvzman2
dQ/ZGhFtpec95F2+7TveHPMqFNuWIXGX5e51qpCFaQkEhhgQ/lI77CFIhva7RlZf2qJ/lQ2ld1yD
mA5+juC1uSlQAfseZueRpiT30mX3Cx2XZ4eoW6tm885D4X3XFP3VLqfmxTF9vjV1j/2WLvuiGOos
qLSK3JEaifQKH7HP03z7+NJUVUZk018C5PtNvRgOHiT3Y624gNuBQHqGKA0XzU9nnjCpXdT8NuZe
n/BmYFk/f1tH7KJ6QMjxhBok05B2XvsWBIOqEE9zCWO3FrBIlTbZQWfSB0va+hCW5ClAOHTk12G/
Q3RYc6p8eANc3eBmhJEA+n7tJfWMWCpEmoF7whA6ADlIvY7ETk2zcZ6ow50d4Hny33/uqX5b9Jb/
yBpf7HNgWL6qVj8Xx7iy6CjieAOEXwAm7qcSvQLYBc0xIGHsHi7GolXPvvJPFPIOxLgGabMgIN0a
FvAIir19lYjvgg+GurtAwmwiwRvhvAYQtUAEdGjb93+/tuL8tx7H/7D5gDmCjhziotBM/vPi6oDI
kCNE1oBgXaTD6JIjN+x6zyszkyiTULMtFmbrnIZuSruK4D5kz5jLKbD8Lo9d0G8Zb539xxeZw7nF
sVMmnTlfKrrQwzR39FCSKia0vXl926UTp/ljYGMFLsK2OS41a05+XWcElTRkZdTFoeiqR8i7mPqH
0py3l1k14lDYnhE1zO6e5oC7MULGN+XsyCNFAtsGSXMenBEL3HmSO49duWN0kAdqt/lqCsbmBrNZ
UuYIOv343ccX6bEm8xQKOIrVNG4ZsbalqM0HmqNEdyuXJm1YYWp3gdGygLfhWHp+g/C4YEiU3TQ3
HkwJsxE+armtncCwlfTK589G1b0O84SMPS3EHqG34zFHVhqQF6NzZ6N4jpHDFD7zifwAmWr6Wfgw
69WG85w73nQQlYVwGnjgnv0FCZlk6FFj2f2dRORbGuoO6hRiXh850otGb4t04HQIxHLrYNNJqzCk
O19R/+AbdrkvuvanZ4lqY7QUlr+C8qTOa4zwUfwF1TfWBnMWY4bU6A6RjMxNTPCxyplMCYVH6DIL
d4PQXPMw5rl1+PiV2T6buZIHIfwiA4rH3SDzyMCnoci2VYMAOwoIjkECmTR6GIzwHZXfU1+dWhye
GNygWADgr2f9uAsJ0g9NmBAAxyqKU6fzJq6CATkaExI1Wh5bYkI2JVIC90YLqX0agupgzs6SaajY
26Aqu1MvtIhyHYBd31j5weLDwe3M6YLNs45gonvrWwNhknY4PlfC/QHc011riKc8hEysGil3dIDX
V5fEOiCt0z58/Eq4NUj8jTk8G+cQoxRwX/QIUWYEl2Hon/MSqOgZBUvU1J19Q68d9r4JqcJtcUH+
HT8gayqZ20ocesQkIj0wnIaT07R6Y3D5vpBgOOle0X3PRZ0yl8Cur2EC4/Djd87PgnWv7OAMbNzM
apKRRmL0uUX4+qYwmhFZh0sdYzc2yXRFlYPTXewyJ2Xo2Nyj/ucXVBGJw+c7p5/b7wFtYfHoF3kV
pZkf86Bfko//YftXNwCDJfedO0taiHKFcylGNKabMjiCt3JHVgPQ1HJ5MVqGMQ06kCgcKytGCnCx
OiympJfLnHVeHWwZ7Jhxh5jpe4vCfTZ3i5NaDgJhO7KYG920DWZENMUHUCOffQYbeFMzTImMkmMo
y9PoXcuZXQwc7oZ5XN4XVsedqekDHU3zsNg1tG9lyNRvhcIjQPRlcM5oJ1nnj9/Uo+0CClIIGFus
4DwWlbfTeXlcKs6vGkXyuZpkG9kyDOLexSgIrOjm1hzFfAB5bd6rwY96s/W3DZT8KKfTuB8ROxwt
cEXtDBtuP22SdivyfkTpzGpkaYaYJ6G4M90yQBytPdzB2YEcyBB4SemprSm6AAap2sc5nUP+a+FD
0r5V/5q3OOGQdAJHayea+QVOmOCEU1GkTbZBc7jfiEp23zK83epYcfsRkffOYfr/X2qNbtJQKwib
Zn0p0PyBl5oPF9fhT4yMzZuP9SUyakWjoB9z+J6c7tATPHIhMU64S9p7iNyYv8A0hco6+JrSjtoh
+gtDeKza4NUsPBuF8zxnQzXA2hN4l6WyeNyxkZ+QW4vocKdaTv6aJBn4KCwX0nuwFWKXt2GwNAO1
n4LukCM5c0vgg/y4BsJDdyLENU6EbNidos22wrFlCsiLKQxY8RFAmU7a/oUx1vnQM4x+9PbT/yPq
vJrbVpot+otQhRxemQlGZR29oBzkATAABmEQf/1d1Pdwq06xTB9blkhi0L1779UDumU8PR50kUUr
WRB9MUcRHbJq9vbNxFJwYwzcayHLvyzHDq5hKPMj16m1rXkXjm7dj3TZwfQckhKonGp6H6PZ2wRW
2RxHXXefUP0wf4fPeUtFj/PK+Qgr9VKwYzfRrvPh5LzNjsnaaMnSNjEQb7BH871qgiuC2HzrvIdv
KJruujO8V+GIq6jnZDN0VvOG2SqOwlRtVWfauyVo1dV6PHgE0FZt/WEmg/2RLMSpIgsuk7WcysKt
98r0SS0M7h9X6eqXqfpbwB35xg5bWn6MOizJJGako+HMSqcG2wrbkHWVMy/AO2+HtXziXtCsoHCt
OzuZ9gF7L0hxDa/KH00Wslr6GGQ+WlI3bC1ltS+usC65IZMn32nT1Yxqtgusuj5x26hPbMX1dqxZ
L/fpmB5nGCj32U8v0sL6uzTLci4X9m0PtPH7ti6+qy49s+2bCW2K+Im5Rp/6UX7YRtNyCOMdOot5
Jgk16U8/W/44GWuXs1JurKhXO68FjVE1XvqUiDqhLKqTTc5rt567PDn0LSB4xxaQ7DxlXfTc+zun
Z4iXod+FoMs2IsL0ZVUBO5dlGFN1jcegCjigahxaUZj9SrxZx3boV+RK9M1s8+Bqm3g2h2lOtlYx
6J32Gm5L9XudefVXZjRPU6v1oYpmIw60Ea4HNW2dzuhP0TROnA4RW4itzHkqfLCF3Yzo28KlMPCy
VrppXubHbdr3jFM+faQiCH9JR7/hKq/pD7Fl+1wvhRd0p7lvuwtTU/I5at6xJjbcRax5PaMzkgkg
8HR1gQVeKAZXwzzN98XFJuU1YlMVVbhrgEHFurTAJCn8/ipN+7tWQRQbTm3xTth7Fmu07079Kwtz
56Ub+nxnqMh/MrOInAyOvV4bqEeuHM9Zu4TX1Is0C6dr43c7sJtQdByV4zKiJ1SINlWevvmJddcB
TlqnGPNdMWc5rwiZ/cJfDMTFxj1jQnrNWPh9lvQgLDL2FIbzTi6bqcxidu4gSLisxwtYJz0Bi2et
+piffIJ/veyas2hycR9a17h17hOfQfsTsabeFJio/SQy7pEzGze3fg6cCoN3hDWSpcvB0Ffbui83
9mKy8L5Kyy+aw6OlsQYz+fXBnC11DKzkb+Es6cnppvLQ9nRc5jLnN5VH3srlHLiklphegnC8NAx5
t6aqiw2dS34yW489TZkqdigkmJlDHV7dmXfItNmQPlUphNTq70g2AR8uCSS3N/O1aWG+1ZY2uNUF
WTywWvemDYlt1O1wPnbFTCdAn+qlZXFFZpg+/P+aJag/QiSX6yJ9Agx9PFrGgEWtc0j2TyYrKiL/
G+yFumJp4+PQPouot07//xB0WXLQHFB5mHK+Wyhptdm/idSvzsptDXw/Y3RIrOqvtKaE0qkqzuwo
/iqHpVtnqTFcHT3853uowY0LcVOrotyPjPruPw+hEcZuVoT0Y9K+NdNXOxv2Na3y6Ebs5M9kW6Bu
RplQO1oHnXpu7PC5Wtd1f8W4161KLuMnaQbhMUv630bZdgevM/4lrpzvSSn/Wm5lbEr8obFSbXvo
MUqto1bgfJzr8tVsW1ZmROZwbmqmisXU+3sWd5fnMBPuxbAw6KZTtFy1Z2CXZV500QbefhsWQuR1
u0op/xwsVf5UmvYmb79DC3wv31NScrMjSoPCz9LxwTf23H6dUz6YLlOn6iu1aMMNpK+HvtFskGGS
g5hJawWurDf5KO+z0fL92LK/BIvWz4NFvOfxYo5j6sdeYNwtHYob97N85RBw05FX/knxlOfZorZT
OXPxhm1779uJtG/rX2YSZrPjWp+4NZjwa2uI5aChCQL8w1fo9OUuWJA2iC/r+6RyGwHcXFv532WZ
gf1EHZbtx7Z5SbwrNusl/a8/tSJfrmmTVOtlUgM6FC9D8M+em+jmRgvgAbVMZy8Ip7OjqpXlz+rg
Ywt+VmhbB3v4q8kNXa2u3OXkQde5HZHrc2zuJUHq/8oHit1unTAk+i9Tlrlx6tGCe2ilKyX89v7z
8Bi+JFapz2wvj06+55y7qe9uteuq23A0QpXs6NJe+qZe3lkHPRd2sx0bSpnGE3ZsGQ5Bwcevuvqx
Bq8Npu0yl/sei/G9Tv36fw9pk59ynepbM7QhU8C837aWb+yWodTbYrjXky/TVVeTt578X1kXyM9o
fF/EI9PpEx8VbP7a9oWotxMO31iQXjs0Ef9g7yOtZ35S/XXcm5M14q1tiLvaVdM/ZVhMVqprBuIz
S7QNLJQGcuv+ppmsgt6kKnZdY5a7qbNe5EODWUz3PxJAsK7cEI6RTtNLVJHdtLk7NDnxj6bJ9bZ3
l+GdQvzLcGkGN+1S+R/l3NUYTU3ykY+no0cYKCBde2X9dnhSSrwK/BNwIi217vGO8i2341kVxa9I
1evOL9u3Wg45E8vaXc21bnfKKLgMbLIPcVaK59weuxt8pOI236ZBhqeMLNxpTsvvIO/DPdvc/5RF
9q9LE/oUKdPTEBFYfhT+m8YO19OkxotCWYAtalIfusqNuaptChliD5H7oDLW9Kv0b9GGjL/zPKKF
bJa68l4t2/iFK2w7+2QiCPwX+yQoyZFLbgE/JVSo0782vv1DUObdRsxutfOWMnppkK7GpW7fmySf
7ryxt8Cy2/eSudOFQBsOksf/ZLgTQSPdCKjJH+7cvBSNn32UuTgYMg/jPDHDuJNRSSZ7AsPqe8CC
ZyLYfZf+GTppXsdC0CTnJYpFZJ/bxbBuTNDSOAf1sMn7bP50LJqgJRu9WNdBhWq9zPtSFjH/ZHuu
82V4bSuf47+NMM4lRXcjdtYdcp9QYII0fcqcWWyz0pSfuiP36KbPOkfuRvxOCXqxj6vxsnwrFdH7
rM9f3XGuL8NSZbuuCvHqlx4hRGcIydVXeezX/HljHgyCcW1zcxXL8sIBt1Uq2PrG5+piNP/yPME0
nNu7INLeUzJkNduAcxo0Minxz0Onk+EQhORWVJg8LU11qh5/h6F+zDv8mTJNPCwTAoA3mPm86ids
s6iKK9CWDaP4hurJK9RtRC78GWIhs9SruiU4aPcJp72BblEY5YYAUHGUdZcRlEyHF9asDC9tOa0L
2R8r5k7vdtuTo2+xjFusZ9kUfVAS1/M3kdd2H3We9OeG4M+KJmAYW+87l9tQ9tk3avKwAgbovxgw
CHaVkHT0mkCWqU+NIhA5y/JpqpPvIAmN2+B65fNMxigrJ8ADNb0vq8muvqufOPLhS7h8Xp90Rdq8
6vnC82A6qzlBozQfD6HzyBcPkX8EDw6Rwk66zwoL/MoNvxgqpLeJpMaeFVT1tsseaaM+aOPRWHCS
Nnb2ZBbW89hny0epS+rvtlnOwlQUNb5Z7FtPU5UlrX/rUgObpy7TQ27Mb9bSsruWsSA0LyfjDtJ7
7iny4JflhiD7vUTkSkkQb4tHjZ0O+sWwk4szV/XZezxMsq4oBQv3jXzL/Bly4SFwLBWrvmgoVGPP
X1lOHrOuKPvgEkRO1p/b1GgvRVadLZNN680c8mCqf6bVqr0TcVcE9Or2urlob9ki8BEO6lJrHySe
d/KHNIcxMP8tkaP2iTLHp8TI6EqK+mjnbc+iNKu/+oHRXxEmlo03usVlithyTLBzep0j9WwM7ms7
j+4dO1n/yoptIqXG8tGM9IeqhQ4OxP3MXT0/59qkB6l6PtHTNSMYfypT7sjUY1+jMQRnDxLDNgvN
/3gFrJeoXBFcHS+F5kJ2rTG9pXWQ3nqRrWFhlJcmKg89k3QOk/bUIjD/kw9BPg1DWCT22zT9Ren8
HRiTvwfXKywyLqW6MkFVVzR7XquIdgthbKwoxhhnYS8PsOvnoFBIsRt6IzkB4oYdYZ9AGFaDjpLX
dL4OYlLkeIvhIpxf3diUfxLWQa+0uWR303qSuvBe8AEVK2H6xya09k4yiD2xzP69xRdDSIRpy8hO
9xuBgeCm7SGPQ9rjxwe65fL/1HA6dl3S0SZ5xbX1R+aJjfxlWnn31Ai/35WJKbkevnSvvLdJyF3a
WN7JCNCOeGG33kPExCHyWhdjcM/x+6wNn9ckQAU+YXtg9Wke6q2cxoXsduFvWUvska210VkFyOQO
A+ii1P3nmRqLP13VdZuHp2k7e0v4kfJHYfJPLfUljM1UKraudORqIwMEMF9KZtkKhERLlCPpdqzY
Mvdui2wg7R5SuxAW8UztvUws9zy1FdHFvu8fziLXXKeGATDaH/Nzl5A7X6yJpBepxLkt//iDYayt
yvUuwAw+IbHUh2jpQCNkjVuu5xZBpamC/mKXw3CBkKzirJ8PGaACitEFQH43E15gorsqpXK2heOJ
4+PVqyMIHj8vIVCwX4YxyVdjxDuaBO4TCwpQcX8ulMcDXjBuBaBBYmqYtZyU+rZDDQShVeWbHU5s
+XLTPxETyUNlL+owjeGf0mrS1Zj24ScJOlBLhiHjoHO6VehnV6+orGtlkcXN3cpbJVJy+k8urpim
I83E7eHSG8X04TgPDgLjZPHFioL5iofRWWGIcU8m/2CYj+PVY8QBfn3DHIHYufBDEZdRxn51d9wV
wUy9mNEbY/O1GAMyTNKnn1/lU5Wf+nJrcZrzASKNRnpQ3pfKMJ7GOpGXZk6vhhNQ4U6tQYUI14UG
v7lMWdWekTd2oICcd122r6GZmc9sQPAvDKEh6Yqs3PpIrfvSpoK12SOwsazUf3UYuzBaXe6mN3uv
QQGKvIJAorCgvfAGvgOyNN+HhNowkysRKSAercS62KbOFexPPMsowYQSqndnYiCjRdE/brDd2mhk
clIDXvwk/EtJZ7x6uJB2IuyqWOUVp1dQoVjYTrmz6RX5RAQYPab+Ju3QeLXy9WxwDZojxX5J5rj1
HT5io9d9mMunjmiQ9VBcnEknT40p9D1ry1UVSOMpEuK3XaawDdM5uVW9+166I9V+jh62qmesAl0e
XcwKWIA7psbaISgOgS5NX7FCY1bjx0mjYTzOS89vjcOHYffvQ5ab5Pmz4TWTcium4YH0rqFmBFV0
TZIM3knh477rm+n089TK4Ju3bSn3WVA9pXZmXjyjt3ctq1H2HJ/sRUCX/Xko3OQAb8Df8sbkKzJW
pbvqRJZuCz4NIFFd3LFN+1WgmO1dVYg3kaD89ETUQknc3lNeR6fy0JwjItl9ONCKCzXcx7Krzgzg
KJDZUAyeZFS7hGw+q+fm59FOD7hm3K1eSvnfMgzM4CB8J4OLtTgbxn2aFxkUHDe8C9P0jsOEIJW7
kSAJFuw7mtJVt6jyeQyiei0NMzoUGhGKwc5WDHVz0tQoiRIbu8jVuWN7wWqUCC8MYOd7hya6sq35
VQppv1DdbD1K0WV04Wu3c70PJFP92TXy5waIxbnj4HfG5egHuXEts16e2dTzWXaBPstxRiwav36e
RM34sUCIWAbHOv08GK7GPNaYTcxo6qLCrPjPTd33RFb3vkhOtaH6J2tCBJ3mbZ2H4VtSpt1qHlOH
jxs7gfHo2sMBg7x+JPmZ4BpGFLPROTsk1DAsqSihNzjO2q57sRqpES6jb3xWiXnLlJP9FelyAw7x
5Tmps1G5908hSpzplFySjiJ5d8J/RIn52BDUyY6Tj3fKKrJ2/whiPWN3shgd2VPsT1iZdN8sx8YN
klUztd4LvRD4/GEed5F6i0JVPJuL2b4srUfWpl9ISnRh82JK18QKowLGbtWuGgmnOo/iOrNpZcTj
IeP3hQjJ0D2sCJ3fiP045XLlPSwKoUJU9YNn6efdbRas6Jwa/rxSTgROKYTC88DDaJ148QQK/5Q6
VYSQQvJT88JTyGBZCFrNUFJ1cbogRNsBN548VB/LwpqKzOGD0meZddbaNc+tGXiHqm7wR+iVpp6g
DG7jxKfjYrlJcXWar4Gk5dnvg6/G9dMX71EwtH5IydrbMvZGGW3KGg2xCYUf/zx4moWduknazc/f
gMZx7pRej5NNEpdbvyyVOHcgVDbceD4ba4ahNhW0eEXkxb14VNvyA02xuAYFhh9aRZjhc6quvQrs
C0ttfmTsImLdmV84l8TRxhNZQaLOTe4fS2Zt+boEtkT/X68pM+qnTDpHxkLLb6OS9EGB6wO897Kz
YOPBBtc9s4xUT0hzrvmMnU4hq0TOLui/Ue3nOB/rgRUf9bz3qurY9+0G11Z+sYwgP6XgyJzOWrZ9
b/oHowx71iVcQD5lVDgsNs3aqDiYFeVRjoXnztR/OTcllvs0E/sywTLcJVZ/T8OSlRBMoIcpy2Mr
QDFvghenHMx9W85Mp+mLz6RXOcZsDKKuUpyA2jJXcqYMajN3E0n7tTSs4FfkB6ekA6e1qtmRDHLm
v7LHRFVxVbZ8MGJt67I4UNTq9VIGS+zDDNyaY0UwNhwFOn9LnWtMZx8BcqfoPOJ6qDtmC41cT1at
ocYsBIPQ0m9a0ucZEmmj6607LtBsZ4D3PQzSewt+BslRg5w8N2HMa/StlWDvj+XehFkD0Yc5n3fj
wVZYWLkSODbNGcJkUoHMspW6+slwMXPVr8o5ePm5dYT03utUeBuLXip2Khu5r5kZ3CZVdMinJN2U
SLBX8pOvltD98edZ0tofOUf9WYwEnVUj5Of/fjX7r9bU2ncAeOyT0yAEAJElz+HY7IcUNFTv1Onf
XhLJD/UUM5WpNkxsqjtndr8eZubeTgdD5zGjSqvzaAUlVjXeqz5LhmMQ9ueeufm7ZTnpOZKOuTIC
Ro9N6TDND7AXuuxGOkQ514SU3bZzpLUdUfCRourfbT+PsZe46t5Y8Y+86QSeOqfaZeKtvPckct4l
gZJDZ+MBanhdl+ocgOG5DpMybxX18a2WgX8qvCwOcq7EHkrhqSgyDzaJWbwDEzDh57Cs2x4znJLZ
TDW8AA6m/9lP/Ji7yF+WW0U4mGy79VyNrn0vmjZ5y+tnaiJvW9cpRgzWQlwp6fW+G6di9fNUCYxN
Gtj03poX64Xj6d9UYdKLrHTZ9CHR7LDPh/8S3q05KZbfzeKDjxSyujodMWg3AZ+w2JZxJApNS8my
hXvC3WGTsW/n2gl9a/sBMTNvmKD5+h4E87S3dVZvpALz1052shlF4px/Hjy7Yj+SKdp9NTe/5NQn
h6l2aFzpmPbDZOUfBKcxBxOHOf88bUACRBWykDG86EyWf1gt8DFG5riWIpjX4aMcz5pFf411RaHV
yuOQh+U9SKb/GL4ncQkj4hJiU/CXbn7S0p2fXITY2qdwj6LuOhVYMYoC3l6BZWnDIalXQbDAwng8
ZOyM2SatofF6LMlF1xc/Z8w7QokCtc6zn4e6pfJtcy5YHTT3CHmmMCUUwnQYr0kRbF0rGPfh7PQ7
e/aarW4s+3kuFmedBPSKqmLZGPQ968sU6o2Ee3+z7OSPX5XTJcfvsbEU+K+ir19dGZzBdTe3n2d9
DQhoMHKo7m44x4vtrwJtP+LgLru4M3xuO3eZ/fjnoRD6sxVjGg9jhuHNnpe9CFL8rF4HiwDIzbDu
9TTtlW9nz27Z58+JXk6jU5+CsXzT1YBei4Z+GzImb0ZRJTvCbmk8mrQIyjTHlm5n1XT1/FJFS/iy
MBxdufTcR2wM4QuTPeeQ6annc1Uf8jR0zharbV6cBXcBxMfvRQ/WYcgMg+lywcklLai6rS7eyV22
WAmb/jdTpqOCncm2rYJpIjWYnKsUVNGjGns8qAQqJp3K20AmYld5w86E18DXE9xuzWf4FmgelWAz
bp6K717KF3Ky/nNouRnH3WN6l9fDqcI4kmd+yVXOs5/fL0hGbZQcWOOFv+k5pcc8GG0TrAavugjW
u61GozKfpzlgENB79WsRZID2oXbuq8qOkBWD8TnhVclK2zqLdByfBy4/f5GXClzTkUkYd5iBOdZQ
fwdBuTFzY9pQ1IVn9DlMeqZwn6S/JIeFvPF+0Qy/+/GaCj3uB6fRkCxKcVMZ1r6uWwY87+F55C28
2L6fxZ1eBPPb2ThX+C53tQ+Fj3UHdbMqGVrsGIr9TZp5AJwZpofCKpoTkj4zFW0opLl82vWBHlf4
S/qz+3johG1u2Ra38pKWdO+gsqOvQs1rgLZltaW2WBGnWk4GdwJjUXi7kN1w18JKXvEh1Ddn5KRz
W1SUMZ0+Wx0O8c8ni/n8sUz5hueUy6zynQKLzOOXtGus4DODqNrlHXwPjKOfcACmw1zK5FIGhr2v
FO/xz1dBLO/33ktzUm6GAmIhJoFvmpzDz/MlYiI+ukzaR9Pg3HPr+V1q9xXcAMz0YWakNWt58Wzk
1W7ADN1QHZSVv0/r0IOtNDDUexixrZVfhfHoRYeG4b/sxXbAW7OqveE54o6IGXht6D1DCCQEwJFV
+iyn8iYIXISCySwLYgc4myVOtWa29uYCAm8JrnDhMFgE26H96Fg9upwZy98n0/hd4q7IYVqtqsE7
W92nZCAzPyBqkz5i4RgiJ/aHEGb/Ay2cqXWtIFIGwyfenLjV26FIb9aAGWv+chF4q9o7FgB6w+EU
htvR/8w6mn1M3NCtwLfF7L276qU/jBbMLF9/8yNuyO5dw+QklmOqP5X15Wj7zgiQAyeFjdJwUYpT
pP5zoUPWAs0kQmlJm00wxmU2xn0uUSZ+J5elPch62VkWp03R0aYHlwJRuE3ePdy0TCJnXokUHpt4
ASxPjbbQfjRAvbBW0XmP6wH9f1iCl6753Tl4jNsEWSBcVVG/74Y/XjtDEMisch9aHL+l2BGjXiWT
uTKjdGPY0T38O3rhWi6oZG9L9mZa/5FeOHRFbEXHxEzWZgn1Dq5nNj7Rswf9Eofun+pXOYMDrS99
WW0kzNFyjkP9JR0N8UuvO95+btPbNu/+mO3ZxAvgP892vwlcvcl6vYnql8WeN6lBr4pJ1WFcrb36
IgwIpcay16NBxVquH1XD5PdxYPlAY/L1hEdseUQyNZPtAgm4x/Vm1mo7N8FhsZodNw42ILIAA9ow
gCKQxqugbncFwBWdfCSWzSQI92ZHE3+CMLTX/OiOApuZZsciWva4HtdtCabGQdZMZL7NPaTZGp5c
hfJRAcPLkyOT3NDqLgs682rxYXflKl/nKcqnj9duKo44mIzI/2JSfXZITDiDLVboYr/MIdw2i0sb
kmwiA3ku99c+fQpQZu9cZc63SEA4Ecyzpl3FVWo4Bx9uAXOCENCfOs61vJeGvQ3zjJwfV9jILV9+
Sy4WrFBXlLedndm0ZSyw9GxIAMd+/s3O2L0VidtSiYvVdL9GM9/LTLzNJpMWcRGL3hckVFpOfE8e
SiBt64a+UrAOkoWZhyYTO8Erqub8P5972rR84xJ7NcP0VPTOc9uDr4zmX9XAjUVNr0Uk7Cvvxnax
f6fjijEKP1Bgr4axv+LV2YCPuoe6gGXXya037Xyu2V4aV+4PatdxY68MdaxbY6tmTKrYAkYn30BY
3WFlGYlEFU/hkMRpQDorQY6LHpIuIaE5jWtlbaIk2+YhDZru1nOiXia/PmaAR0v8OnnCtmsEOiku
TZquG7xtfioxk7KAYsrXw0AiMVJRjLuwnDixMInHpCP2sI7gyxvLu2CWznjlVFYprLWx+Zcp4fEt
OF/QYXk/pkuWiXMOkLeD8hqYSNPe8uTiJg98YE09R2QViT2TzENdpkf4aoxGDkz1YnImO6utMGDN
7wyNCQfCrPbrcJMbMf8Z/q+6eB2icV819h1mLUsws6RcTyJZd6JlmXb6T3UJtivvDm8KC13BS9Zz
UnsXPIagR63+Bb1CGAW4Omp7C15Kq7ud8IIY8M5rvWD5AOc4cWnhF4YvTUq0ydOV4KtSj31kApgM
+FW/o9gAmbEsfLgKlxEMAmdHfnIxi5eksEBbiX3GKMuE5WUuwwlG6t/CZGHW9N/k/VJt9XtcCjYN
clnaC2fL4P8TyQwEbNz0hnHiErwx4mQJ/DdiEa40ax+Bl06yj3kxXBiOw65v1R/pfEl4QjYU4qGv
b1kWGhRa0QkH6s61xRfqxlo4PieTp4e1TLvdkDdqo3uwvSF6XcNJzMc2q4BnI30P0Saw221dtb8j
RNrDsLTnEatE0FdrVrWi8jJ86fDgNLMBmrfbpml1cRTuHCPcBkl7qDy2p3f2xrHL3yMnEN7vfSfS
9eCQr3UhB6PicBZLq/mcEzo3OgW3zs9G0B4ixtRGDQ9MNWcrr97aariXWO24/M+Z5d2dFC6xrXbG
ZG2WakLTCq5lYH4XbrCX+YsYqJ2TFLkGoG4i114SneTAMlHHfpey3fsBhujphgsxbMJ/oxntg4nx
aQeu2ff21lC2oJnMVQ/0LpFTjS/RurtcRI3FfmtV/Wv5jrH7rypPvIhy/Ac8bsspRHa3z3+TVlYb
gjrIipUdOyJ6XiyMq2lWMq/dJA7o+TlYLWCTWyRA24Ve6jiY/DTTaOO/PgA45jMe6KG3ZznounaI
529RAsidfjdPeVK8+1lGOcX5ZWV7y9FxUpdUoggApYxWZYpF2uechlYqAnVs6uyPmzrnpXng466l
8NdhOuK8Ll4jJ9h4vTxWstnnpnFWNsC4HAC+kCClWs4nR/oxh+9TEBUEZbDM23KLsvVNLxizjWFX
G+H7YLa/8ApKxdwi2ZmJ8U9a3bmu260XCBAo/pMe8w2km0PhTDvT9bZzWl+70EDFCM040s26mv96
tt64yb/ZIRg1FPusjC4y0/tMe7sxaG5+Gr3Uudop/JLaQ+dPIDaHz1ZtHxLcvatiKHEutIQG7VXT
BG/mTIhbXUsf0aMklgvDsTDys02AZEzw5c7BM1RErH3Tto+4aKK+HBgIzC/jYv03gl8g2+PemsxJ
+f8plUSyzcsKAhgkzLC2p4PNjGdvdSfR1/52yChoSyZtG0tcQWdRYS58u+Xajx4g83GvJOONHGa9
zLDhYL2tf8MZP6KkbT2yBkSsbG/ZsSnSXiVts/Og83pe8mjq5JqY+EXkwdoufvt0771MNnUdxbX9
lkH8TQidtqLaNmXwkVJ/VlxBLXeUun+vbEobYR5bI9uJJoWube66riXHUDCWHm5+JZ4nHDQQBA/S
CJ4wDGOSznDyshioGdcturBtipUhqy/tRdifjfxf6ybcaKPDWJOVkhfTa4G5omilKtbDcxFmz13Q
n4TE+yO44ZGtx2KVkoccdHYxe/HiuvhauJ/3nXaJ4YTfRU4ZYqGSrcpIomLi2XBz898U1G9i8YD1
t9AHO+wqm6Udf40D7/LC/Iv5WoCvrCdl8QxfOJ57GzELEGb6gDjquthrUQM89jYmwwUMhA5FaMpI
muzFiuFieglYWFouoA6T5q8kBrD2J3WTRvZUT8ojye28C9wIfQUXsLGxW83IvhXoV9lpsQ5N+uWR
X+Ds+atc9VLi2oarW6/EZBzDdKq3rACgHelWSFJ8I3NBL5Ex9naD7pHo/ue34TXozX94rxTxUQt4
wVRwes3rxLRPlsbEoMzPPhL/R9h5LMfNpNv2iRABkwkzLctyLBY9OUGQlARvEjaBp78LPHFdD84Z
NFuU9ItkFYD8zN5rv4RN+W5q/ymvVqUFvdfgetEGD6gOO/5GT8i0KnlNc69fAUUG2+SVZzDivPu1
SlDHM6fvKtis2R+05NH6tWX8tWi+/lhu5q11cgyohDYJPN/V1LJ5LAAvqsZJ1qYsALkTqQ0COl5z
1wJO7gCIGyz0Wqw7QMxLjEZs+S3GmZOxRSItVpYFohmzzNZFb2pXIBlLQi1WquF3m+bbK9C4w7Tb
2DC8NyYZE0ZO+jmxrYfI7f7VqBuYkVAACR2lR1Zx2h53hDtJNMkDhe7YvLv5izcYqKRAFK8KzqMx
rjuyawkxN8DHAyl+C6LMQDAI9RvA61Rb6SZxAGh2VF9IODIePSF7OJN9VjrpLR7OdLVVpr0PSrJ/
lywWghLA6Geh3jh59rqskp3ZJM8imT80U/A94vj3nC9WL9+DDbtSjnTKckz/JnG0WDGGfp+cWagD
KSpB3TJ+WXnlQXtUutMsv8ypOThmc/1dxCWI7OpZWoiR2eEnn60jyg1SZjqI0XqdmulSNC5iQDeh
0nDTeKPHTTMk3JKlhAdpdN8V2vxQ/HH1ye+SlyyMrr//BRvjfKUNmNrFsXKLrz4aH9U0nauUCIWJ
UV0S+Ty7jEXqYKHZSRr/3QibXcugfsU04apM+a/usw8ecySSwEBcvikdyhOOF4+Z7LBvnPFd29HE
zNZ69jD78MdQom1LvPSadMnOzp1VbAlKN8O9qyqCSimS1oKh3drMrJ+SyNxlXrdyLUvsEpa1fdf8
UaOE4okA/JCjmEqkA1J5utnls6lh+pokdbSV/2OG9Lp58GAb5lvuaczG2C7WBgO2oSuOXo91B7d8
sbJYi7poDEZzILyj9q7TgNV96B/VUEMkCGS+xuPHjvWS9lghk4Ybu2ZeopjzdmlxEFVIaTC9GeXo
rfMlCaMx44sMq6USyTehFTIqQflXmMCgp7ClCdf/Kve7tq16NUrZbxqn++OJncvsrWb9AWn1JU/Y
77LU+cwQO6MUQNRrEgtisPjjIeV8Tzlobqe7Tys0CQHs5WN+9VyWmn0OA9tJa3D4x6RCAIJAJFjl
AjBVhDjLHLL7yilvLJ9ACTviM0q5BurWXQ+axaIkUH6NZn7IKJQJkl0XzPGh7FLrOWP/lVZ/zbwe
oWozeKhwBa8U3jvWJ7jrp2NVSHUiF+nZJ417bVitXhtRtZksCyNy/+qxP9iM3GIDz4GsdvIdUxca
ccmxXjrEctrqrQ4o3pyww7wP9TPMp69Cyhf25riHhh/qEL2evxt2wXQ9xO/gq/82zb9mvNCwzdnZ
hQbATlP5d2NOFIwssd4oQauuqi+/dF87vMuwO0DKAXJdI/uEuD07116g1iqevQbS/y2R2O+U4BFj
xQUPxucqjT+GpH8NxG1oOTHd4j0jGBq++IAFWKaUU2UB4aNFkNRRYifmg2eQnzEugT1z+qYInzAS
5uzMlfGMs55vPPMM4tljjuhc6+V/g0Ncoi7A8eKM72M2wmb5JV3699SJ222Q8kyeMuQeLoMZqCIP
fSgX/9TVYqCbpXQ0tchuuJbjeLwfyRVSXX6aNQJXRACG1J8ab+UY9Jcu9o+hSRypj6rAEw+yi7ZW
lN8lRvkWmGSEuN54sDSOD4AE6fhld3hhhmrxbF9iskNWjSu5bUFJz5YfLJOFlSow20rVfyZFcilt
liHN8MlTctwWffZYhi46R4FIKaCFHcKPOPBsBmSYeDtPcu3a6aqO/TtXiYesnLjBDfHe8Ozrph9o
wh+ynw7jcKsL46Jr3B2p+xQXxjfhDWdDvgw2AwjH+gkxCYzusANc/YiP/VZozcRTNWxmG/wN1BAO
qWOW+Zz689kO50f8VOcYY+JKwyimw+Gtrufurg2cTW2iKDZSGtWyhmjsaT7jdm851DVt9whnZMRD
1E+1yWnMVN1NxCOulu8sl4+Zj8IWOz4Y/SY/lLmAkIhica2SHzdhMx/N/bipdfdKPMXVXGJnfLd6
t6r5bYgvXeE+FlSJ+C4Mh2tliRdZfiJFjPemTaI/YiHTVrGFjWx09wCBsCxZxhO82JCbmLfDad9p
e1CVOQ5I7D7amGF+6KqkR0EVslZq7s3Cekna/n35fyrcV0MRE4J6q5HukxtUu763XrFrbUMZf2tn
+CzLFFmdk+08osdW42hs7LQkzmA8BwRTGJz7TVHxyAv7jS5pMX5/hqjAqll1twgxZd6ubKEv48AZ
FS6vM03SU9QYB9ENV380L52THqaIEIC4+G4oGEztPBBtcm66btvEVCqZRRpQURFoi2Z+4yjOToZk
VTI+G0X14/DO4q2XxHEww8JQzqH1JJLu6pDwsYJhRD0ih5yGqz92Zsl+oBJradPgOITkqlvSGeHa
Kcy/LCCOQVOCjqaxitJHN1E/1BuMkeZ/y03eUnjl5rvTUCBNA67pMqG7yr/HIbqMvvUzpDDeqk6h
n+rpExEKqHavabkonMYtFBoG1kV3rbneElV+Wz0lV5jf4MTs+o5hljWfqzBgklGdKuDVM2EOGKDQ
2aTxs4I+bLTiZ/kezdL+EyThVxmmB4hCP57tYH+iGdF2Y6ymwsIqMxO04PQbK/bXfRHp1VDHiF+p
XXkQZ398b5tImBC8XSLU761wj7yh97huD84QleukJ5W8H4GqOuaGW3yPovs4zwA9omUsJ1prVZfO
bmbOJcyMNz4G6N9H4rMV3dqpscsMdi8ZYgUXuVzSXpBRqdsoxLOL9n3WzANRKx1RaQYmBGe0SRaT
kt5NXnXW/LNwk+Gqtd9tze4Mhti+8ZxdaxBUkQhHryFGvKNeYBBY9u+Ol//TEtODhT943TXDBpP3
RDITsRLUeqcB8Sw7urPt6rOdhvh5HXlzYmbHgzm66Bl4f3Ib8PXgdtecGfuAu6bu0b4ZJYQTFfLK
1755NjNw1zxVgKXU/jkcwOVkhKZYxKEoCi8220h8PDNYBYp3gbg3Yn96dIh2Te+iJ2NDNgBFyxh+
N0IXW2YBiUXYR1UKvdaykNs5YPMh1NwzMEXnJuixSfxqIEVXXnTIDjQ4wTaog3HnVKdStiA67EvU
Zg8ybr7saAjXOSq+TfSJi1ysQpD4jSEREIzoHkYHv2ZB2lBCieJ7+XdUGLeq51FUMmVG0lbUnWBs
ffWSeth0rSjXDXl8Bq8xXtz7wk8fxh5yUyoVoy7xnOXw2ftk9HeE0ixoDdqrSQ8vvSfs1ViRoOex
Yj45iwtCGu6hIoXs2Bemv4+K4T6ea7mPFYeJZ8EeUCLc1cz71kFxwNpAg5SbDP1ZByI/JBaJjKCL
aZKM0KrPKVucCQP1AVEXLIsK46Db5BRB56Wyi0ZGJ59zZX4PgRg4Sfg71nQHLsXeqo6iTsTezbdC
c23O5LZlqQX3XQNtmHA96QF1OcNOTRDRunCjvykL1pVf4biOmOuZgb6XActshy1HwN/N3PYr1DRu
CqEtJVYRen8t/50VP9/cK3wYY22aQ7I2CrEvnLLFW1kQXSOKT7cNX9HhYuGN5n1Cg76fiClglACE
uqkb1Hvx1QnQH/QdnVXto5lge1c/Mrmyt307/e1KgGExu2eTaS8vaw5UHn56bqmzJA2Cby39h9bt
qMryLsmUs8rxbKxKl3OXsK1JjyjoAYWs7Dr5Z5LqEKnyxZnkkWqbXlyoaku0URraxr4zpmNbmQi3
suk1groC+P449BQ+ZUzTZbT1I7pSZG24zBQXIoih8aXBCcUJMVC2LIAF6mq8je4+s7NDZNN4GSRm
OppWtMSTE0NziVmlIg6npCrJAuwrXEdDGQIzJyVb5m8jgn28I9aby/5YwDcIogQ4/ARopoIdwHoQ
lYvQdCmiH1d2SFPUjhuJF8DT7qGswzNToYuFTrueocI/uEPSck5lX104HW0zXjLJdoXJPt9pbxWe
ttDxz2qx/vDFrWGZIjB3k/0id3W7mOOEoZLZdDuXE3GJCUOpeMwZJwzXeGjblcxg3aFAY01y1KMH
xHix9cSZtUkt9x1b/befdP8oDz+CJP3GT7CWmBSThLVFwnpsmDJ+fPOPx8+2Jvnp2PeI/cq5xlzP
qM208RgVqBa9HqqNxPQ5Iv+ADPCgUJ2uu3m9CM42v3+aWNYPQzW1wngZdWzAmogFe9HwQ7QRKZuw
tWZzPLpRghsLQea8HE6lF/FYsgiV8L/Nyk43UeIc3Cb98sk0YwD3kZM4ZymCoo15axrNM4KyvaBO
HHR7UY6zmbP5Lc36N9GoTUL3iJeV3px2Gx2zfmpy7L2k9ACES48FQ0Rug/HTi+J9iGvAFgyV+hHb
bRWTp8qWfj0UMQ4jfEYr2oYgwqzrPhUl8SLS2+AJNckixp1ccatYbfNkzyM+qhk4kS9LpibjQ0tS
g7Rm/np+qIbsKSuLF2EjTjSWF3AkxYGmUsIoIB03S77ymcidFk0nTsv0Npf5revs11DMZJOqh9ki
tqq3z3VmcgHbLcaoCh8E23t35J+0zO51cn/sgRCVpvOe2zpGkJOzbxGBAaXCOYXccyFwwZCZat/2
Z/KkrnVFKJEbTRcSsM02f4LcF/Oj5Y/t2B9VF54YFqFceA2ymPIAr41MvFc5ftZzQshLdTKEeq7L
8mxHWLjrfmeMMy/GCL3J84iNcPpP2D70fimjmMYItpPPtMjwk5ltY/fQmppFOUUtXA9v2aYZyn+g
iuAe72J8vAB5B3Wdhd2to9R8bdDRBtLaYHHrII1QHSchRay+zNS+K+NT5BR6Fd4SRuQkXmmk/dzZ
bi2pw3T4kfoAC62bM+YcuXNQUrcW08r/KAWz+DSBghUN3G3JxByci3tZsZEJJdHHsttjOteGj2nF
Y7rUZwUr46gC74ZV55+l6kvnTz/gaPB5e89py3qOdQ7q2N6582J01mJKE0wq3heErZd0GHgcLu+m
JIJr1ajsFWAbOxUeACufJxxD7hEXj1c/487+7PuoO9QJSpwQSh9guXlLTBlkVH+LwTNcwQi6a+v0
IinBd5bv76spPtkOE6W5o0cimG1WZyLk3lMQVSsgeHoDjoIZCCEw4b02jOPokRExe9Z7U+GBtllN
xp9Z214pg7MVgjIu5sQ/2iMrPE5ujkZ3T1TcCyjjUzimD0BlNggjHt4ILLLoXWu8cXWAdsKjD4tw
KAbd8J6ZotnanZOt0obssGiaP1E8PxcEULLIt38KnxUiSFTedVKgCGqlqPDd/VADaxpFvK1C0rRC
ga4N196pxBKCetc4cN/t51JxD0Qp2TscXZjAmA/PegXh/geb6lYw9rKCksgruascE2nA9KV8hrRE
Ma2GxULbOfWDkwAMz1w0CbH9koqEsiWL3hlWfXHD7g0tyGCd0ajyNSvHUwdhDW+9m6Z3Ogba7rpq
g8rmFI1+wz4QkX43sGSxAAWPGeNELOurKXPwcZf2xxz6b0qc3ZiNtNXnTD2U8eT3OUa7lPKhPpIL
/ODXOUm6AWi+gaBzCFlMkMPnudkFs/VP1iOOC8m7Vsz1vjGak9f7b3Z5jVouobFi+tSQ87JC6XKs
Bv+Se/6qWKJZqATTVaF4RBhy4BmXsPR18ouRJ7upKrczpCR61/bmTdiuJceQt5kQvK9Mx9uP/kse
ZTA0fWQVXW1+2QiakqymsojGf6r3Nv6CUYrM8cW3+8s4tmtv4KvIIMpXlmdmK9s981Rl7NU4w8r1
8bg0lnrHeULdbw+3oXDXwBWrbR1Gb7rPHwM7OSHGOs0pVVdMnrBll/hdoXKtPa4ZJKMMGaPLVNs0
kSkjlMLOf4bBwQaNB4DVthuhxQQGYHfTkzeTsBmo+6aOb6NfLFEirwqv1xrTFNc1aaIzYgh8vt0n
7JpPY9oq5M8rvFTu2PAKNDwYO48w8clD7/2aWvkmcIMzVfg5SjNyQuNq3eT4WXLAUqSbMDj7MsMj
yFxO7JC64vefsfK3KbOecSVQs7vVZY7sfz07i3U8FZ/MNgAxjfdT4/SU93hsklG9hr5zQpXnlrh0
bW3xKhTWoxdZiF4ZeIzZCT4czDiG2VSc3TlmILhKwOtH7DxJiD3hI0/WQ4apILcM5HkpVJ/oLa5a
fzUUxzEf8TupNxaC16kxvtG80ZWgSgreBpzpcRA8IrP6Glvvp0ZPNAfiT/SR2DTTxsTcTZFbPTpk
AmZ67w7ZO1nGGThGrgPPBiOs2++EAx7BeHJyczKo0YmHa3hN9l1hEJToTMhWiDxI3zLFlbmkAkYu
WXaCEJ+W87W2WT1Zov8zlP6rch0KnoRciK51d/mAHjTDntG37TdJC3dGT5C2ULd+0H9ZiFxMADGA
fMjUqVlxODXLaXUnbf2YZk3JSUMTICbvZJKdSBkVYVvlz1ioGXRhuMTQ7CgELmR65Wu3+iip/nWg
OFsn3ODGvoxxqvhuy+uQKg4Zo97nBKbWMXMk0fmXNjf3mG3TFeDCfFtZfXJsWGaPdFR3ZlQ/uSp3
qMvzAkkQfKox4bT2J6IjB7tdKZPxIALDDd/7Y1lWKAWb+tHJK1JwQ9bIgHbSwatWYW5sGMO2Gysr
m3X4HXgos9IaIDJg0pgiuLrUWQCcIpKLsMW9rzKeKlzFNUVYicd0auLdXJ1lUH/qesRSaFKtz1Z1
YD7KvpYAJ6L71LZoG5ukUx6qWRf9cXv02SFsvlVQPPTKpd+M0BbivV8yfHxMcS1lfJ49moYPcEM5
i1XeWOlHrjEeFjYdDPcdIWZ59zkMv7GLHEy2oJytOqdiPeR9K09cElfeN4ofMzIIRbcH8wfj9PKU
IV68iSCQANstdbIhOIsdck4pMFjiaCbJqwT7yFbZ5sfMud4M9NhETLmkvQV3hTn+5ckPUSO6WVYA
aqhgZ0G7GBF5fYwMdtoREy9cNATrUXbP3PwAiNAA99aFrcwdD4kK48fKidheo7OpKYVDddVla+zc
yCtWC3NwZ7Zue+lgB696pFQ7K+33VeJHG9312abQEMwidT8WwXuXWPEGTXibSJKxZNXBDPTJdUO6
n2MZPLTOumiI58Xm9ZyQn75NS3NTSl710DBR4WQKpbVP6p9BKgPqg7klNrnbBiXsBYotA4KHxzyR
qReqn+Y5p+M/cbjsYpk/GRCQ95a52Hbm3ri1MoRdZyVMm7BqifrZYaB1SpSJ6bu0yYFVLS641B3v
eo9rIfGqhq5PfGcDodS+I2qawYwM6ZjVtBmmZxZ/lT/eKOCDLcFOf5pyJgdgiPCHxNajHYvprmu5
DTCmQDXue+TwokZhl8/0N34EUa65llbNdnhkuhBS3LGaO9Z+YdxzuNdr0jhhpi29XThdRcl6OWWp
c6QeqLeyAy9sI0LziuR5EAwwkMHLDSAbaxN15IMX1sBq1QJVZhsHSquVhsKz8tqufEOq2DNahRI1
xALhXxejfZnm7Rh/aKTmx8wC+Eu9vU69OtqGwTyf0F8zxchyOo7A+YqdylpLMX0kOUlEzJ30NjYn
rC1TdXKNTWc1MfHiPZdwJMMtiL4ULlacv+CQY8PhZNEeRXx/1j6ICqSJYbol3bjeA/Sgj+gw9rCg
bR7cQs6r2rKdvcLifDBaiK+KZeGLr+bdQAYaIe7FP55MO7g64ivVDaTcUo2XsMx+kqZndBTzt227
YqBta3Y9QeT816fIfQha7SAMAqe6FJaRPebqQUTN9B4p/z1wPlr9TwEhPf8X0TRT7/j1DXy+z8Iy
0YpzGhPUFRcHuK+MlLPK39Zel5wE41YkBwk07LBSr7ZX3KJ4sNYN/9baqpVx/f2Ajj4/kC92K7Hf
rpCHuy+sjuotfKzmwvqbIZ2SXArVfCzh9ZIsJ+SDjQ8Z2FT2bqbzp9HO7tlLc+SEuaXXOH6d8++H
OfVSpLLVjry7p4noRQ/6CjozNb+1M33iWHrls8G4wVV+/xU8oMxuftqlYJQE3/IsmSfAUBmYrjH8
O3rWNcQ3cevH4ABad7pvQrBXZftOQYZAf3DtF6PxwrvfTzPHVnvQvTwP+1kcTItDxnYAtFOpd94u
la26m9zcYjwqL4Rnq0Pl1voyhDkJkl1fn8uJBI9QBAdUQ+hWsbd8dNkpgOnoLW0Bu+p0JYXpnysf
/KfHccDIkCp8tJzyLoWps5LKGU5ojyVPt/KjVaBrAJL099YsboGQxiUqMcFVWmcXqx0XGGNksXPw
zUtQheARnPA9DqGgZFlubup0qDdFQo/cxn70XIf6Sc1t+TWZCOUHH1OS3VTzvQmN+sjUdGD/FZN3
6EAdKFNBqYix44uw0geRFuqW1/Oz5bpQC3pOazwMFgdXQ3ahhMy5q2xkN9qIkdpp2CGVzRiid3Lq
vdTbIaqqrmmQDvvASCGf+YzIA1UE137hF7Iywb5aoWwKOi/YgxB7rETXopfzUWTWWm2yxkFnhnx9
i3OgYiGuiS4Rkfjpjaq4dwjIvh//z6+iog0OFB3/9fuOk8+H0uUR6VU6P+UFlm5ybNq3kZlmZnXp
n4Dt8NCtkRX4pwwkzJbH+gKXafq72UVeAgY3f6wQP2xH1cHmDucE+EYs9oHbEzLcMCwESzOlsT7Q
+nA3Mhjg5EfEtvBGR2A6L1bMsaZZkxexTU4egtKE7TXdZ7Ju2qJ7wLRSH7jrTcQwzyrsqgfR1gyc
Fk5wlD7ryPP4Sglw44ofpg6qm9kAGxVSozWtav5Oiy4CJO3WoIu6FB1T2kAzaxWkRB5xIR3zxSal
k/s0a/nzKgYW3yf5OtR62nktPeUIQiYy0mPKQUPA+JeKNYDuTibPIVNCgQSFbdVYbsJ+RmCs36RV
8Ux3dbgLoC0xL7LKKwTwbdyY/U6buXfBA5ysHWvG55YVsF1hQCgGQPwyc92/cZSfcCBOdx5Zha++
hkpVT2ICeTyPr1IaH6BhYdxNQ3KAUtaQkOO2L1NFVKHldm/kyBpbhah5T1JX8YaA0s0EckZTi7Uj
G7lSKWyWTAQ4TOzgrg6cm1zsLnZelftooPtog2FaNywjsCRMMDLGaJvyW6ehBXGYTvAb08GYzl7I
FscKpw07oehoK9brY94dOkelu9+3J9M/haPjBzspHtoqbO/t3CDeIHLNJ4eHxsZosuohHi+RhyQN
BJrC9wHPaaIovWNzH83nSdTlfjRspOL6NcD49FT2rFEivMl3WjBJ8YxMbxjgYxocw2urs2EXlkaA
/s4H3TDm7baPJLqr3ihudjOeNIpn2pGSnWDoXQTHkU5eIvhxjxNaJbDK9hd1kfFiJXx/ntUcUtM0
9lrkPm8P7Uw4fap6AybTYkP+vw2gpstlJn3/1MaLN7O2n0wPOQsJuncAnvCO9q671wzpD06A8hDt
mDWFI75f9EYBEOm7KZpfAjzne9PV3om5ARluZLivamwZue8Ea0nuxCza5OKK8j0cMudJThkWMwOn
axjYxVn5dXnWekeu6lYOAHi7q/1CW9jm59l19D4yhuBY+iLAhV52kBhG/SDDGk+F68Lqo0VGFLlp
wpZny9LGNgiybiPmDeQfU8mGqtzYkUJAihQo1pxr5P1tpcmoIWRLjaRmqu4zZT+hr8/2v6anukSt
IwJmVovfd+i89hqD4qpsm2EaZqbYmZr9QDAGRltrcZWyyuxmDyW+4BKockIdgqjeS/zMbFXdh4Xs
uXOtgRe3YwYQBMygDCdOOXrqo+3O8gxXxaO5VuyiFzeS22fXsko9UrCZiM895afImwMUvgYIacMA
AyWyeUeeJtO0ArXQoAj29dOs2o4LY8GmGVu7nhUcfz9FxXRo4E3epKz12SvUcCnNKj4zgFwj8gwj
s3ubBjldolotr1ponrHn5DtlV6gf/DHZ2B0SGKNkeSOmeMRRzDuM03fY53E/nHBJbIH6xK9VBUGm
iGDm9IkTvdra+MeFyDe6yCSiKB/PYLnM3cRsjzh7FL4ptvnXtuoPajL3IanDz03uZU86uY5mBfI7
95BnMsVU54Jc6j0kULqGFgwciH0InmARH60wjy7srp/aiMvKzvR0ZqYyHnIKHcSKDnOMhTdFw7Pz
pcOTaATzOgsn2gV9nq07lLzgmvvi1ewlMuix2zmNZKxkNfqINdzYsbG+Eu8+nBjVOTvWpf9+GUu9
au8aBlGmjLM3n1QHQ88Tie2b3jIifCE63vFwOye1C3Zaab4/uqSqD1/AzHuP8IplHQVPo8kRVti1
/Ti407UGRscRxTS7r6CS+cHOJHVkM5jYLlXLNZESCD823ZfdeNXVcLq7OeblGubvyAQp6Pr48ofJ
cQ9JH+2b5SaPJ9LmFVOIOwEx+KHwDwBfTxN7qnsFN5dW1BBHcGKE+1IPGSOtpRwYh+dZNz6XgQM6
KfmaW7N9Q1CJzrMHwFZ4OH0qF6VYok8VtmMEL3m3HzpGCkLv+Lmcyy+bBh9xyLGLEr/0BL478qgv
v79KyOuFcIO3o05eOpGUJ5NhyAZJSfFJ/f/GQOk8senrJgGHTyoEbwOTWh61UQbZYOUbc3bUUDye
+rL1uNJzhrLorbsSeiuDm3uVNw3HwxTAuoH8HGnR3fe1b99rAdI7DBajGjkFTzEP9blv2EBIcFQd
Q9qVS6TIo9tOOFbKHoRQW/QwxS2MEGlYfJFhcS7Cr5FJdxV00Eu8qCTFZ1HHJDFK3PGUGpIvQJfr
Lx+Q/uZQIgYXAwifghUhTmWexR71CxTQvPr6r+fp8lDtokofSp7IK5XAe5O4I7e957tPuDegRDjJ
ayENyXKC0DyWeBt3EtFxCtIU+KF/3ztZda6qDrEJQhSmtAqwziJlCQiCzQK5d+bB3/gDYd+9RYxM
Uqjnkmk9pH+H0heqAfLgMTv/frBEiHl78lkku+VwrsOJURlLz4+5ZmfV9JZzb9XIo3DVfEy9ND8m
ZHRrDw1v3tRwfdPfAzGV+xFh30Mee2QL+WP7Dl7wNZnS9Ev48d5tsv2ieHr04RmQnIMsHOrr0+9n
8+KO1En1/PsZDGqg8e1L3TTjqmlaRStdFuwpa7aNcamee7LhGbDgF4uZydy8zmVJuCCmDPKR2R7m
1qUQcbKjgspQ0xU+2qz6NIjBfmmYLgsmp+cgdufLmGbmReWuv0ZN0W0YK2Us8/PsWcbmQ5/44i8B
PxsaWcyft8A1pq+0Z7zKWGeH6AY/rtIkKHL18SIsH0okESeNcB9LVYM83G5Ov78Cd0mRkGjgtfw+
cSCV8+FCtfuHcs8Q9j/MOz8sQMMHjq3wGMZ+eCmt7g2AnrmQosKLHuOOxW4lt2DR0iswA+8wj+3z
tHzmIwRYBaId9uaCWjKz+Q9jwOpV2tPilIjdu9RLsre8BmUE6ETdiy5+AXJJ82lAbNeG8N79KXuh
rMbOhSwlEaZxmyyTpUGKZrEIBN8G+4AQwlphtOHJj/P+MR6Hb7mImhPRSLSMmXn6/ZAtvzLEIhFC
Or11gg7m8syqwrNbeSdL03lpciPZTLMp7355+0Zap5sCgftdnhLLNGl1CCFusjkMuIGKQt7hEyHk
eGkgrI79UlYrgu+DuXE5pr181U1menYGqR8n8CFmh6OxLcBSmUl3y/Iuu0v9NN2boYXkUFdfpUQk
OkHsuPmJfBtZBq4sLcWHnvJN1iVQT8LKOirbGTZkGskPTTQ6pJ/+Zk2WvB+4Dlhp+MMycOt3mDmi
a9BO0SV1h7XJLvD6+6Hw6f/dNGDkORh/My8gFqy0+hvUOrXpfOvKFXimUJ3uTZUx3SNB5ttk0W3m
zOmyDPrjb2ladh7wByJXjBmWlWHaR3QkxUL/Z9JfTB9e3xz+h1CH/wy1RDzmuaZFogM51p70/iMg
zR3Jsu2zhpo1tLq7qS6Gh2C5DHrdPQ5m3j0afUg6feIfotz+hM9+57X5cEjKMjuxTr/ly/uURLHF
Qoy37f9+WpnVQANf/ynro6cC8VWPKthId3JPosmCa+Gz+4RbLA+6ZLvfBXWGESTKLr+/MvuA4juR
3KKOGo7GnNJelOk5oPd7pMD8aThU90nVBxsIF0AMrf45RF8P/Kr0H0IPplgMZXFdGC8ZesqCp7dR
tmO49sWp6xLnZUCDtrXZ5lk8IS5lWpOPrlN/89+/vP+Z6CEc4RAULKg2BdQPcwnl+39CNMdmDuNU
AjOANujfSdEfg8D6x0DAwPaBo/G//2r28mZV+RRV5RLk6Nl8Oc8xiRqkPnZ90kP//y/XYx2mgSAG
rcRP8gO/fiX9rPupFBamBPL94zQG8T4W3WfdIUCWDszLadg2qo7e2EpE/sPMWvdYK8s5JCL/qbMc
jUKUB4dUkrBjB0re6llnS6XxPwRbuf+ZTygcz/Ol50KBsR3P/M/M3TEtRo/VwLAOOus88uIc6Zxj
otgeKIoB7+SBQ3fP++UYO147B6pr/TZVVX+Z2OHNKYdcoUWzLiAX4ChojJ1wpfW/ODuz3ciNLcp+
EQGSQUaQr8p5ztRUUr0Q5bLNeZ759b2Yvuh2SUYJaDhuQuVr2KlMMnjinL3XXnEq9xC5XMdEt989
WZbLgkCjVZkEuOCsLt5ZIPn8YAg3Kij/1mtmITYi4UXfaOYi9TQ6qDXPnlxaE40EEsmisj5opBMT
b1e7KLLE0TKV9ypFtUpyuQ5Ter+CBs2KKnLt9l5PwxWfZVvOdXIBxbnA8soZQbfXaa17jE2ik2XY
azMIiAQ3x2LdR3Beqxy/pu4mhCWUHcZ8A+v8768WlNmfLhdayEzEHdsSum58DNSMDVBHhsDoIaRx
FrzQevJdWiVtuB5w6eFMpURtYeFdTCBxW70ZqU+wJqWZU6MEzJZ0nspHRZrWxitKZo0Jo8Gu5Exa
l2x8xTB21wa0OWoQBJd+Mn2rVDQ9ZMQILNuMAQvYXLmntG1OdNqcZ9+I6DCjJpUAhzFP55e2abKd
XVXhBmWh+1LXxRO4qvZngn7SpDkWn+spMt5QQYcYLsvkDxMRnQlapbPnLoJXa6dxpM3gBOah7lJm
1XNAnovTbGXAHb5iAbyYjS8eaLtwrK49/TEybOMyoLkoqmXg1LAGc/0AeBmSq+lre2cqtH0nRh8q
Du3EvncYfWmOu5daq+/SPuxxE6TzgIy8rlVYi2kJ8aF6xHtXLScMEsLTDVDmaXNOGhMVTGigasDU
muRXU6+PgRMWL0brGY9NJRe0+5wdQc50BaVxYWYXvohSK3emGSR08Pb0c4YNmTnUP4Hot5BCrFXv
M55wNb3guY8J0GfPeArFgJRCDyyyB/gJeVJ74UnsPHCI2GqOkx3AqTWH319h1seoKkuS6WsYko1P
d23rnhT4r+2vEMJoEZxDkE71Z9jExv3At6rhenHAwLHb9tVWAMLFGEjgYQzS9qHhiLaK2tJbtMJX
51yzTyHMunBM3/wJIbgz/QClMc5ZQaFKtwP29ePYaEuYOcwhCIbJGt27DCSTpLrVHrXwmzA894rD
XrSlywemz1Z5SFqBFZrf6whghdpDxXnTbGjenePSfIEUz/jYD1a//zzsj1HVfB5zSC4RhzrgdUf/
kH6qk9cDfRi1olsCAfUtd9xrfYdHyVLaovf7N9dApuIFbY9lFbydQEt4Rip7kLCbj4qPelsabU/f
vPsWJP6Ixk63zkh4o6VOgBUYQvOvBv8AJErAGMPSDvia7Xosnju514V8xdChYZnnyRPqxku0pJVp
rMGAaaBer94EVilKilukc7NrBm61MlDJD0yKUKVi4hXKWD364TtGObnzXDfEkmtE59gK9oNuZX9H
RussNUZeX4To3vf+X55rfG5CmOxVuksotv2hSOGgGhmeF+dYUJjJsz/VOJj9/HtZzwlY8xHA7lNv
lxj6wWSfP3HQ2uc/egDvMeqZyFlIqCX0IZ3shRv2rzx6jyhizcB+RU5hLvpunbUZFIXGcB7omeKJ
VZ67KJRjLh3Sgvayx0lT6+PEB2Z7iEewNbvtu13V6LBzcpvGjiwzgzdIIf09lHMUBcaxJOQoUTVs
cyCPVqPRYePvAFN5dA6Yzol044auufEMZx5CyT/ySLRHw0yWwmIiqOsye+XIcdVio7h6woCtlh0x
DtWPbReeC47ui99fn8bHfC/qFLZ5kzx6lFUATuZi8V/3a4zQUbd6v1hYetgdh06FuyrGL93E7iEr
Q+xzVpAyuwYtCoj3kPtjf2wb9SPJI1juoapuRlKFCy+PmTdil4Dc3cst6uEvcx7/650SkDYXrEBi
Ka5+fafMCBh3YBXFJRAMwG8C2lLBInUj49lTxY+e2cixLSO1orchVrhxdxUxNBd30p9kJttV3ncJ
7ZzoO8ZTpjltyqS49MQX5d+n4prP0zFN9j9H2Lol57DKf32eXopVzWvqfBFOIJV0m1CgWJlsUzVZ
mgFOiEWR4uP64lucq7xf7xY6bbbpUG/yP8P8sMsUWWNVI7wM/lvlxpvygHMpzQ9IKK1FeA4YXmtt
dkkBiwUQXDaN5s4a7HdoVuBea82kd4Fp84s39Xnrs2Baua7NO7J0ZX3I5eyivKrMEbBGJJtdq8r2
FAPN3/k0h1YjsSLbwGiHXZFEDfJXa9eP7csX7+BTcSzZfl1p2LYpHIdI11+/jKbRYWTSn1wkEZZH
F/I1tjYPogf/KQtJ1Sa3bFqfcbejgcJjMxi+cd7cdpK4F9LFxBc3mz1/DR++JpfrQnekUq7hqA83
m9OiiDGTkDyVoD0Fsis3WdxG+LQS9Z5UgPGRwuz0LExPtEGfYRca38DAQi+PLPsUa5PaA3L9JtMu
2XGGMWhFxMFakiojGZYfYDMEzPNcCMB2bbSrxgi969C9GnbQx5y1hdhR8MG6YxBqe4+NnWl/O+Wp
qa3glfi2t8kcwFfMCTYcwDSYylFyHPr2rZhbnPcXV4F9SaVNyjU8w8fKqd1VNAXXhM7BWRCj9ZDp
Q/g2CSSPWt32h3vL/f6ihc1flpN6217U/vGL7/nzTScNShqesxyHOAV9uPztWIQ4mxAq+FmfzVmT
KzGI+tVBFLQD6D4tcWB3D2ZZuMectHNvHNIncx4rO0FGk+SNM0RgeSUgN8c4OW38x+/fn/h8e0pD
OqYDc0s4isfar9ehlhWQrCaOBCXugpOj8tuk1+0qGEr4sUPLQKLJ/GUVOn/StWrXzhzs3dcVEpE5
eGgo7G4lW2oTJ+28S+7PpnvK9/sLNGoUv6Oeb+9/bPLXEGSiMJHvE93tP/rOe5UKnkcD9DnYa+4u
LOjUpdYUnpWuDhQnzpnu4ReXuvHpGCylMA2i34XBMc/5WAdKjks6fYiQYVa6Z4OILtIr3VMPyTm6
jviytp6fk2xee2doWDtilOqDmP+xwZh+YOB9w9LCmXZIbl98F58LVCoLXUmJWtLCyT8/Zv69QVcl
1ALc54uWacJJ02oXaDo6ZEG6DXenudICazhyS047F6DVsqTl2WTvegoriPCS4hhM43Rse12cUdNk
QDFDa1FJxzqBMrJP89ieTpjy1hmVfpp1QI2m4XvUdtNKYgGljRLaj0OtsK4CJV6CA4Edo8j+api4
/f53/Y+Hu7RtQQUlbEFm3Md00bKyrJopS7hQplwQgUejujHRpZlKuyDzXg9t5T4GJbRPdI6HIdAC
gDJvcSqWbVjUR2LWxLkfGrwRKUIXBCyksxqhc/n92zQ/fyWKAHGdYkzxbqn2fv1K0gDBElflHB+P
kYTagXq8GpvXyWNOlZKn4Y+5eWPAYtySKOXgn8dLxab0UMXeE8URPaI8h+LvxDY9LRg31jjtWki0
oI15sTmQ0cS1UG+4xK/8/s3fo81/3dO5oTntCPZ1k2rqw96jhRpB4PWI+J2uNahZJOFtOzw3rrKO
GJz+xHAE3gVBY1IRnceJ3zhlYUlId4Sr8/fvRXy+6TgQMN/laWfpPNM/fpCxFbuG1QBvqk4pUumH
PHHH195H/+Dadg/kG4ujlif72jGSS+c76gC39VX3XHqsUWge49Kxb25rABFR/p8Ac7SdzKo5bzqY
VqaRAJMr2+M9b06fuIdyU77DsD2mHQe6QHXhW9LqZNwJKCJxaQ/HNJXvQGTVqS0qmLPoBNc6OYhr
P6kZEf1//Po8WbnmndnCoH+ovfCdxUlZpcmiMp2/pslWJ6KKvS0HZgO6i6XBQ3SLdQUA4ubmpkWy
6NB9MyRTFa+1w01eBEz0q2JOAg9na5LzpNkjA3n7nTin5BTTGlnUWghSav5jH+ZqH8aifZQG8sZJ
T9UxdexqWyWoIf3aLNQK9vqKo31gGT8UmRf9qB8ttOQ5Yl3ri06g+lwfUxrPp817OU/Z8+tdNPJ2
Apjw2cJrAUdOxSUulf+GjSo5ihSEvsPTbePZkLL46oaFWeRvYJiakz7laEzqhISrgDyFZojCN7er
0QPZySmY22XJ6OIhANVta9gUY4IgsYKEW37Z4WA13gQTMWxf+hyxWF0QcWYu2GRXpJAA8PeEiTrW
J1orNdxbhhNhaatCnWvNL/aEZ/hgo1r9yUpx5QJvHdZ+b7PpNk529q2GHgeoAJ30Da32xSv+pnei
xp874ZEYg0/toczrGm2kUd1CVRRbB7Vd39az+61+FnqsdjFks7XZxvZ+hJig8kC8F8KTGxm3ZLeM
acpZLGAYyWRwFQVxvbPTGYO7IrJ+WvEBBmA+3A4XSy9f3dDpoD8Y05OhFdYSL7/c/P4S/q+tUCoe
3nSOBU13a64k/vV0aseYAEZTh7VLRKVdePKWddWfeoahL0Nws4ntazqZxaaOhhhbKBEG1mDeIKmJ
F4cBXZtVeyyr3uMAOx9Cs3tNCCo65A5yvR4H1v1PNBynh9+/7/+ocBTeUNfBIStM9amyBbOJGb+F
iigAH1f4EMRQLtqx9lexXoBl5KvYZoArd0Zu74IAykNdM82pgdEudE26h/mPav4e4877y3N6pBzN
SKJXZZJxjtlvEY0tgiaTPIZOb9TGE/jEGGVQ83G1N5hZD4bvxFdmwP0cMTtgDzC/izCZmFLU9r6y
cK78/pe2PzVT5zJet3SeriZHvnt/+19fFqOjMbVCMJ+uTjh2D7vhEJII/NCNfruqiQrcMT6LTo5H
68Tpg9vQWVh0K/XIZEdf3iNmijnxFFJPCDsenjpxqdHC6UltDjmzHTIXjULeYGtegHsOV1LP49Nk
Y+Fs8CmqlRlX0a4fjD+swKzpH/k1EUoLKADkvQfbekgZgYDD23Mtl7uy60qUpqrejKNH3kKlm1Qk
EHTcgIpS6gFRXU53c+1FQSrim+i2yGT0bxq9JLpt+LcQdbZfXO/3p+OHp6djwrJ0LNukPhYfTkR2
V0OscbJsIaNQ8AQhWUE3Uri5QR1cw4ymYU8rAGh7D39Hi9snRD8ROfBd9ji1k/kw+sW4dbUuvPUm
tiUDdTBnkxjrXBUpmkDkL6xHcpfXVt7nB9OMkQp0XfTiVFW01h13OnQdUBK3NHIDfpkRrHOf4fP9
GIOR0131XmbCCnadpeFh8L63l6vSyreoJX/c/9RHpkvAqVcuUjVnblS6sSXgAf/W3DjyoXJ9dbP9
R73kKvqrlisFUFrzwyYRuegcmYlDMCB4B03uS5s3ODNMxAn3P2Z5sbVDv72Wbs+urjn2SgOfu5NF
KleSVvw268C1JXD2v2NTtiodb3YO/CPZJaqXZ9+O+4s/HegYQyZgAk8vN7/24ejjJalWeQQoDYH/
sPMnclsiXSHxEV/8ksbnszvFuekwHbKV5Vgfz3SdJ2VWxAJ9R2FNmyBO+p0M5dto5+9cHP/cH8oa
H8O8G5YWsKCDL71h7ykINPi5py9q6c+DNgkD2sXMQKWKLfBjQ3LQ8jJkf+IMoCUbqqn8yYiC8GJN
2OPrAKFVJKqtNYz6IUjL98IWp45d4U1rh6M3tW9tOx4rOVg8lV1raXclka2mheCBxiFjy5H8XALP
6/4viELO9y82qvmC+PUucwxJYcAHaUuOPR9qVEmQHZ7JEY99C7MbZZazBgz/OJY9YNwgCc4jycnn
jMTmf15sv+rBnhblYgALhTOBaNMApIK6mEJU3/hNu32JKAymEX8MhY3ZcHIBRR4a3wK+T0z3WkaZ
ep7AwxbA8Z70hJSbwdPKs9SM98pr7MeGQJmH0q2Si3uzkSJ/o5LP19I0DRwsU7OsG253RM2ktfop
Xhb3mQyC/hzm2bhJtG9l0uU7H8r7Iha1pLYq2kWROQ1IUU3eYlJ1/bAhnJ5x+xeblvxcZjNEU/On
yfWgcIP++pAebFkVA7IxdMEgh0FwzGhTbU//Q7taYCxWeqCsRZRZQNkrHFJsa/XhnlVSQwrdeCOe
3FZZOEH1MtiOEaj3uRmhTU14FdM10cBJa0YXshfJ/+ViholMj6ndHcjEqv+JykQ2TKmlkTSYU0sf
/t/LKLKeGNBbyyjgQaRp/95ETOpKhSel6UPnpYk4i2LheVchlCYy5n4waqH/ILrksezBTJO/gbEd
0VAEku8AU7xcJMiQNppwAWJ1vksf2DkN6PajWDUrvWrFKjYdLNdFkK05RponSN/sClRvdchUcSyf
JvCzRN4Cc/hipxD/sVMwSDYl4ilBp+/jiMXRMg8tB9uhM5sqRxHhUGvN7izCoVt1ajRvaI8gEaxa
iWsOFEzR9uVBKwh50Pi6QDUZ09YbcZtMMXDkpic6TRkr0xpAcZIvi+fY1Y/8d9NlUBX1Oh/N4Kag
hNjVFF1qk60QZbP/RNADFElU0XWuYEZMUFHBpH7V6/rcQ5x7SDZ/OTYb5McKMW4IQ0zxNaA4dpOb
dOo/otRR7+WsHwliV+3TIpzdnvGOywyyJVLvfeW09V6Jh6Fu0ViLNiAdp1Wr3+8y8vNjiae4y5vj
qQQ11f5wAKFvD8eI3KlF2UeboMPpVTfa8GgToXzQOhh7kP8e73/LVwVU0VCSb5TUVBahf9IKaZDt
nYiL7puXARwCMSvh1XCsvwukVbCPE7mOGeA9GMy2HyoeXvuyUJBoI+9Uxo3xICbNvXS6kZ8GjPqL
YEqnHzRV9yTWJa9mr+nbhkC/B89JfxDWO9zE/KJi+R3aZ0DERv8a68FPNKnZxSYNgMhDRkOJtyTB
i1SkokZLmTkvFSkOe/IPqlUgjXyb9V2FptQheCBsvIek1jdJkc/n57b9ziQ0PEMZ2xWRRMLmXzTD
/+LIT5vh097uGlLZFp8Eoh758ernJux5RgPuqceq2+KA4jxWBaN2quBJ+aF5cmI3O6YYARxCSFbW
pI07NeRg1a2wtx90DrOmdW27HqBzWYrtMC0xiUGlyzq5Nojy+1OUxg827IEqHnPIVPhoNJ3KhJHU
Fk99vHQnMEOD3oqXTOJ4ClpX/1P0ZHcD+V+4rU7DQCJyMpgALORsJEhBqm2cxkpXiYk7oOhKY1OX
KdbzYSgeaz4++oG4m3w4IuRvbI3JY1wcT0Q0ZhaEqAa6/JGx+5wb099qZK74HxTODd2rl6J1f5Yu
1VxUVNat95gJl+Ko+2D8HtpuviNCiEJxABRlCvWR0yiyJ6/LvVNO1hDC2T9kGkuQ17b96GJRZHI8
wfoet7nd6nReiSBmjAuvpkVfckpmPwfgQPVAtjet3TZyNzlzWkSf9myaMRehE1nYaHV4XrClcBlW
4aqG83hlDNSvU2Km9jEM3RS1HMRSXmSgg/7VmUcbdcOMCov7q9Nmb2PjGScMuyHDy7rdpOziC0kf
8ULeKxrN3ORfVpl7G5Y+m1cTASuPktmmhLwFUA8cxylehomR7dsphpZZ6+W6K0Z7M2CB2FipEZ7N
rNxysblHMb+Ec0T7YHEpiCQb92Fld8+ZtpU6voIBROYzE5I/VEvPy2q3bUvF0//fl1o33n6/vfxH
Aeaa/GXPT10dVf+HqlePKzOqO8mxMhUn0sdhhTSJIoZlIDm1JgzLjtrhFbHdM1myQJNHNDxaWf6d
U2fdLIJmllMNZcu2s5fQF3tEGcUfAFyI4sVCa3uvjQm/fT51WYX1RcVwn7/9WoAxD2EYSHPO4nys
Prz3yBtmm0BRL1JmsGtH46IpqlkkQ6WwbCO2boNSYg4q7h6jbhgp2usAW1vmooeSOEl4ALXkHy4z
AlmY+asEwyOy+3D+SfN7jZ3HSLZmYSanMhtgmXcKmdMwMsJOH3//RRj/UZq7ipYypTnH389jNVS3
tkE3lm8iCMeTI0Zj5wUMgfEWBIvBdbJdlVnVjWaLDg0EDiHm2F2HYuWcjsa+dWN1E10ZnQfmhgti
QiZmTXHgUKsQvDqzgir3Rxs3j0HQTWc04dOzTDheOZI4aP7NFz0KxIHsFXGIYUA9NIj8sPDwR+kV
f4E1yQ4yLeUq0MJ2MwX53woL9rXSz5UOcbEsMsxRg3/0RjO9RlPFDo8oCikspgDHMP/gwLyeNE2+
28Nr32bD1i5rZy00GUGG6DaZHtXb0IxJ8uvrVWMBwmGqmV6IgxSY3hQ0Udx4cKh6WqzQm8otkJt2
ZTo1SnCEi7s6MPEgoj3IkYOSEBV212xyBGx7X6NyNNKlKF3jSS31thufjPnnsssaFCD5sUinhKck
MhACOuM90SfZ01ACByDuCj2Zls4BFtaKeJLuWzYbmhhAHGJ05Cu3ggKUaxZn2fzPgEH0mZCt8Zjg
2V+kYTYDyt1qNRHLt6S1aB5o/F0nPOgbZEQDRgiDVCQxDT+gxT90vY04YAw0MjB6Jhpa0IIJVNGL
VQP1/P3Vdhcg/HLrKLQJnAGVbnLkdZyPt05Y5klpQoeyzKrb9Rl8ikF8K2GiL5M488sN9sR+M7pl
sjVUPDK+6ZI3Y0ZdNSbmyXygAxyDSHjIbQDRfdanP2K0jzrqpZ9+ZR8ShId/aw7knqgAfYVbik3x
UBf+SAjwgCyWfXYJWKDd1nn4YmNgf0fcNTwwmrPP5HmbNzsurio9wxeZ9jqjY5Qg849B2Ux7K/Ek
XBedFpUdkdxV05R36b9uQEEVmyyVBG/LcmDnTfRLXdYTIT2e+13YszNzskHckwUycdHvnd4T+xwb
V/agk9b0RfHmfupl8THTVGBqh8hkHqT+eqYJwJ9FreKBnbf5C/3idK2prl7ZdL1osmQ9wmwSEPO8
e2v1qmNSPUzH+0uQB1iygltnXgfzWlfza1tdO/+qGxeWS1CVcenPpbWv/Ysyzq5x9jFdXmsJM4JN
LIBIYMNRK2d8wN7dyOCHFmjwm4DgrOymqv7GYHjwUhcbTxBL2uuadeWf/tGVLdLprOiXUckUa17S
eBTBk9XMy7wvZT/F6TOrG5/D9NnX/rem6sXznmvrZaheSuslS15ZufWSjq+sKHmtNLwNkMi+Zdor
C6LGg1alXU9EEgxDF9LDzQ3yDVFW7vc0Rd2Ise1NWkmwxprTPLdftn1M/dO5U3HIQDCLWtY00VV8
aJYZtkkTIkbbbkgEkntSwfHSQZTs08Pg7gUfknXgtQFNHR49zGXkTNXHWjuSzmUfiBusilM9zWtw
TzI702NnWc7Zy85dhtTw4jgYiS6sCaOoeyncS5lfK8rq6Trc1zRdHW9eRXnzPL4GeHy3hp+Nm89c
YpXwmTxLOC5Q3dLnukmtnRn7Rw1vFeRlWe78QgUXP4/RwNvGJjd3Gg25vT7D7vZat1ekznuwErnm
5xUQTuLuveTAcpJDjJKbkAjrIEvCxY++dyz0eQnCKbKTkZ1AYY2QrDBUJmcWMF0zObfyXG96cXDj
SynPY3dR8aWQl767ZAROykucXFlhco36a67mFfTXVF1jdW3SG0sOtyq9WcO8yLdrzJU53BL3pg83
mT9G7q0xOvPgEtcRt4Ie6yxBZbchHM8Bux9rUUcsks2GpHR/A9Elvpkaigy/rfoNDgvySh/t7FHc
l5E9sjwFuezRUTeuMpR+mEktdbPiW9LPS4//tzL7+s9K7KsbkjJzVffXoLmI8KrVF0uQCHbB8ZiG
l7g5x+ElbM4sv+F0fG6tU9OeeC3aUx3PC0MOAirZH637SmCSuQfag6y4OoTVIQgPDImzft9n+6Tf
u0QDRV/Iwj+rZNBDoRowaP5xlHQ/+hNSH3ZYFVjIOs0gfwry2Fl1jd6vBkwcT+PYVmevdvl1EvuJ
CToxZLPmr+rbluAJi2B4eioGiovD/W/dXwgAEidLHMLRdkmBV8jFoV6QYNdNt8B16rPWtuvSQKQd
jLARE8gxAETy8XtQVwtpxM63qGKAwZ0Zru9GpPnvqxQU/dg4csuhN/znn9cprANZ732Ul+sYcPGD
pYrucn/JsOldws7yN41Zy4cxf5uoNM+VKJMrBjA8MPFPaZXJt3aoq12dfiF8+Fw/z0N2NGJSoGYW
zGk+7PA1mb+IvfOFPdnPURy5CIamtTXj0MKeo6s+goWZqhL/U3YOsq7mDE/OyUgK15AOT6a0Xxzb
jm/Y3UKbA66I25VVtDasY7heA4DiC7o8UovzL55Nxryv/VoCmCZicAMVCQOPT0dch05w3qYDlJ82
aDfNVPGUrMyXBPvKyrKwccRpIa9ktABPdv1XGzU6GA56m6pLGxo9HYG/c6y2MvFxNXG1L+ckgd/X
KebnBygjINoyAB5wGTgfh0GRmkZOFMCOmhGEcC4xuNi+429bHW4OXBp1Hlu6cNTIq17PItAl+biI
Z7Y0bBKNpMI3u0yrTW+0FrSZjryFPj1GLup0c/TeAddcmnz6av7yWabDRUHjDN0gkwR00B8UA8yW
/KmuRLqI9MrDiwY+0LHJRahFQvwevM0Fg9d+ZzeHrIbmJstxY5cWOtBUjcfM0bYVIn4sNy0xyz3P
xd9/qJ8FLLw9ChMLCTUK6k9DgAk7NAGTcNuC1itegH8TrdVXES0Dr19ZtUCOzNHv5EkiDTGJnc2O
yWJUm4wXnfG7HrbAHj16erklGe+Cyti6tkO3czC/OOF9bkLyTt1ZdcFj+y7C/HB3paReDRV8z2Cc
t9gSBbJbo8xTsV3hTLOq5MFRU7qujMZEjkaAFJ4qPPwdLNLJnPdvZArz8MlYNkWH7y0gkrVyR3Uy
LHMewzggRNoOhUKQGvoqRZZz9lMCt2PdHqHvaA8cspxXWjiMqA3PeJJWJJbdyJjL1EKXKAw7W6uA
I8oXX9F/XPcCyT9yQwbWFqfCX39xPS3onKKjW9DH7g5tHjlEXTY0XvWHNBQ/I8TCa2zJ+Hu6le3x
2zoJ+Kzfvwn5HzuEYFOjAkJF9FnolCDjchIjnYEawVo3Ca2BUL9t7GpOTSn8PWxPWtIcMekbku2H
JXSNkiZ6IQviZ0Dc8J+QJvY18SPHWoc72XPCpSMM9dRsrD9yMlduiPrKy9w4eeBG0g+Dj1xprNL+
Caw2Cu9myf5ZrAqLtldQj0fczMXZ9VuCFFO87ePcLmmKlkwJKMlxgvMhKPFtwGveOU6jX0Ui3Get
LKIHgfAdl3TkPSvF4KUWbr67/7+W3kSr1nuImgzRlvJIT8QYvmVvjLY+eSJLbxDqMgXa0deL8lVh
lzHSQJ8TZujRhcYj2phTr0NaHPW03CIkcR9lKUfkuSTW/f4LwfDxec+2mdXAhKDzoayPbWpotG1L
w6kAfYYYZfLdk2Oh/7v/VFjtTQrK1nklHfLAHRmDrKGZV5vspmbXudvB3XLtNGuTSPFmXr3YuN5m
FPOidoKZSl4DxxbsNAVpewYqDrgLxm2k4UzW2/tQHP5Zun8QYm/fV0zIXbdHlcgKvZ0w5mUbO0J5
xgab23ZW1xpbltds/XbreDSHCYXfDGIzCUKYNrLeWPWG0MZcbUhQnJDCcJAPt/hd7WEb/sw6gI+k
KO1YTbDz7N007Kpw79ggSPey3Fvlvpv2HA9TZ14xqz0EySEkXak99P4xEQcWQtl/VjkdRTGvfDqm
01FBZyEXFCpJemKBJ4mg4X3xFd7rgQ9PXQeFJk9eNrZ5fvjrjZ3VUVGMUGhRbNbDxQX+ci6NfYDq
DGsYjqqIUcqNTjnmtdz5u+7EOm7BnQdeGB/xneb7SCbkdPlN+BR5f1pBmZ7op6an+09akowH31Q8
yL14L/PwXcO78yTJAVsGqtEfp9EWy5JMlm1JRXErjrgXswfki9/wypXXPFfldazdchuEdIRV0pdX
37du+gjK23LnxFCnlQS31T+jqJguTajpVwQQwYNyC+sdI1uyLLIEtVDKeWoKp8FZ0vuwHhp+WVBb
EApja6uy5sUEW3vCh61OkWoUiBhLrtPKheOAABHenv0jkphMTSwGS0Ea+cNduWFg633gyN7ciCT/
m0Bt9xqlFYrFuVmdY7nDeprZiMyBRdedmW2tW6KTd431MtM2ROXWC9nECiahW4NogLdQh6ZYY4KE
W9bh3Y1Fl1+NVHttJpn+DJ3iJ2pf6GGmx0fyVemofxoy4DFl7M2jxnawNdxFkP9SugDQ0qw0NYje
IYNP3/gR8XVbg02k3CK4qMNdQ4IQEKBw54zz8sZdoXaY2J1oj9V6qPdTvc+8fW3sAbKX2aHrD3XG
qRUv5DKJjlN/wOnLKkg4i46deXTqeZX+aTKPrKI8tf68KgTr99WVbGbzGu9LzJD5k/JO5v3V9YhM
OqXFGeiW5j4Y4E+Kc6SdWHVxDg30iOe+OBfaiVXdV6OdWB1HN0mw0Krmn7mv3jixRuL8ghPiTSs4
yeAkqvk1sY7e/ZUZB8s14MpUhbwpcrrfRxXpi9Kt81tK8Bfh02P0RMSn+QCIz7xOdvGtEHC8Dhm9
zOLY+ke3OCp+mI42ImP3yE2vOUf3vsz0pN/X0M93fNfPq+k5r82rlqchPnN/zeFA8pTKUxOfox5s
JWnCpyw+h/LkS7Aq87ohXXTsk7wvLTrPeZf9wuhOpn2autNwX6N9EopH9qlN/rcGdWSVyYkchkYd
kUibqKTzeQX5cfQOrN47JMa8vOrgVAcVEkgLDWEvODRyVryvNN9PQP+1XYzfWOzsdkfgUfgNnQrr
XoJuJ/ZcXH7ttoAQytNabCyxQbb01SNqPvD8usEJ3eAxp3A9ULN/lKgP+tTZkdlykpNKW2Lb3tHY
1I8RsVT3FcA1IKgNo9bswZsXCTN+Oq/B20wesQCbXGyCfl6YrDV81uEmhqSmz0s26ypbj+VakHy7
lGJtiTUkrn9WnYAcIvMZPtmGFHYlN2W4tZHtFFuiiDPgjjb6rW0YIMqcV1D8byGhY6Ejb+ydDPb4
8DIrctf9pAGRNUvYFJmxYxXGDuJ13OzCZvd/GDuv5bixLdv+Ssd5R194c6O7HzLh0pGUaETpBSGx
VPDebnz9HYB0TpekE6UbsQpBJ1YmEwnsvdacY8ZOmBDRy9NBlQv2ZQgbJRTcUYtwjgJKREHBnU0L
Yp5IvVWUBCDhqF72jcEn4wQKXkowtE8ZPBGeluZjm/tWYx9QK/dCntGqMJOwZ+cJBnVi/3bPwoLu
37xwrDUNnd2WhUryJ/1Fq5iTLhFARwwMHeijgFVCljZY0NiF8EBprRuj6VTcdGaY6RI7EHMpjeFn
emPpzYCle0+UHv1NStG9pfc0fStjL4uFme7lklfuVRPNC8hsL1KvRq4NkmdB1JbgM3kk41Gd4Q0G
y3BvMrZa+HQgf4DGhTcz3kA8DRia3WrlJcj4wM6RdEuiseZSrNOppf9eU+pSUNwc/ag6x1ZmhgME
+qjAjtorhugeb8U8SGpcO3cHeatur0YiFdCNcq8igzbH4rbV2nozDRS26SRQzB55NjSxKGF7QGkb
vghV2Pb6vRTmHykCEm/TP9geRQeGSveKbQ+PPaXtRVo46sEB4pQHv5RkRErNvAkRTOaJzHNImnXc
GsmTcEvdhcKiCaQ9blG7Kbl9mZtFLBnI4T2WkHa2VJcjoPpCYA8+YrOOQpsQCYIMeV1jdy1cvXXB
hKPYzWC9Ky4AIyCzKlw4y9Vjj2QWat2L6YzoveolR3fe0yfwiLFl7qYJjw1TwSso+BN5sUGWzlZ4
3DebOy8ZL7exVbtXtXq9AbbcGw2vH7YaVjJDPSisyl6CaRvO3tQbbDdNPbA8sbaVQrrg4s49Iyt3
qNypwlThIgqBMmvrKBOPnbwdN/2X2I6VhQ6CRGPXYbmeEy3qZtNWvey2hKoZW9US3+K0dK3cowQv
6LwdZ0r1utkb9+PC66jySCA88qi26vaifZXyotPEsj0gS1TGT4LSImw99U3F0xXPsTxl8iwwb5Mn
K6ygcLF6c7PVuNeaebbjgpREAl3pbqG7unBJNh8GtyMAmvUbryuvboTL7Kic6H5gJh7lozP9pjuw
SwB/uoDrDtIf08BbTUdL/XGF2oimKMHnolKLVFy8upw84g1PHqNO86Z5LkMyDhIEZ7bsYTxhedIr
2qtkvYuRYUQRq69CW98xHKwDWy5OM9K5IJ9ilqmQxJCmJ/f/eyjwQxwt69WxXvPxtRz5Na9r/NqO
r0r8qu1FBhj4052A+kEqPpj6y7h+0LoXW98q0l8sPo6eqUQ8O+cieZeJ5754LsQzEFtLf6L6nsHB
UxI/ZfGTvT5iAjSqR2sv23qfzFtl83tNf9fn7w39Xa2RjgPouKlLMpdT037MhURURh19zcy0eib3
MOzQ7z0gUUEaNQ7ZscDH/P7vb6X/pmOL8IoxuoP5Vaf39VMXSZ56wJrR1vGqrHu9wcq1H0RB3kxd
IPWpZwTOi1Bf5MYkUXMwlEvbZh87hws0IS+aO7NCkhXQkj2pTSTL5NmrAPzi2iSUnYoUnQo0807V
FN+IYJxn9ZYeWJfyu7FYWYo5+aU0Fvnd/qWeTw8WzElSXROHYYJNromEosuyU/tRLItxGNgFF1H2
QsK6cSE07K+HVHGrLcx9bZXDpM6sQ0m4xSgRn7tBsp/skdzUYuq4hkBNc8HKhkbflM8d6u7fnODW
r20NZia4eRnBoxpgLPfjCb6YapTL3coJ3trc5zaRZm314kTgJ7U4p1I5rQ7rk61Yt3yrGOqvg9dp
K5YuFOuWqNiOrFso3XbHOxYv0vR95YIKMLV8Vi6UTi7OvnJh8ZLl2/qFdUuyfF+3TJHPumXY69u6
haVLzQY4Dccl1Jpt0UIVRphRzSnely5R/H3RsvnfILCmlfBhDUJrspLrfqglBLCR147I62wh3Y+A
wG5/f5Zav7YkNHqJm0gQg5SDTebHv2ZOtPYAGrIhEwsESUFL9doj3b0K+2FCEQjqrhGvabci3LWm
ICaMBXKzvV72w9gVjEGyfD628NnCzk5nfELozPpC1T8PqnJsgH66+lqPgcWIh6EnZkbeD38kxYbF
+teX9q93XRcda8DJ3v4Nggr/XFRBmEiW+r1TwdwfyfewCay+VLxseJMFSv1XByDzscyWFyfO3ure
yLw1E9HjOKskaKQr0wZjts8xlBdG0ObDpCKByTO5elYrSb+M05bH21XVs4wU9Ga/mT39sbp18k9k
Fn+ORlG+LUN0nejDP3coC3biRlOh6ZKc1QqdVEXmO6jPSq+275y+6v405FY+5DoKgdyAVY7Arvea
oWye/v6lg57065IPyQmaW5lXkC3oT6+dTJNRIsy+Oc6K2tCO1mmUWWp9jylirL2VEYDjtiZrP4+l
fEey/V7lQpaqh0mZ6hjL39IW96C/zv6C9Erbapp9x/HtHENQYDk+iV56jkI30LrAFlsVZpDtNSfh
uJdksEIOKQZNxGvPc2jUobZXP4eIAjFUrnVYz+FShxP52/N2TOdwqMN4DvU4bBAO1pguw6LmrRIA
lpn3SoxAXQKlETAsoTnBSUfn3hf3Bg+vCzSApl3giEDtgtIMDBHkZpDuNSXhsFeXhHa9VZOE0xzi
Ahlm+gF48tQ6xFDczKGot6KxUuAvrrfK+BGeRBxKU6jFoTOFShyC/VoQv8XhFG8fxEZARfpWK1LA
NoBCYwCNd2tc7FlQZAG4eyq3CXTeShBkVPnz6M+JPybsJX4zFvoVEUJb0eTeL5uOpajOz6StorCK
ampVQM0DMmy5zAkRyMrhUWF+VUGlDUkHsB9NK5MQ3qzpIzMGkiTmtAwNpKXnrEV+k6tE13T0bz9B
CLz0JiCTZCD1TFircp/EHx0yhcBCirtGTMOV9k58S1ZuR03tJK/yPPMCJYRStoMyHCMFzN0kQ3yA
emne20ivz20/0Bdzpvw5tou37b+JTtqRKZJ1j9iYuKeKHfMoO6BiJ/2sGg3RuTSWmlLuL7L5WdmA
18VgE5MRcyFYE0FsjIi1j7Eh/YHZYPjCpPRhLqW3JDPW93XOv9XHJn8AvCr9zqf7a6sfjoLD7Yj5
LJKcfQbyly6QRTxKYY8yf87cnMLREMl5QGcFCjB9NKDPyonw285ZP9Rx2tDlAexAlPKENDzNyS9C
WtRqphaiEhIvddLD4DUgZE1GxEo+mW5GLpEuN2jRb9pXv1p0QedqOk4t9vtQ7nc9218ed8KL2eAQ
QaCmW6D1RKwfl5Jpp6S17RlMIGyXJTtlqTm9R8rlBEr9TD9Qf0cKpPQbrs2vBj9k2w7ibRUzEbf1
nwFcSr6sej7nEoxD/BhF0tQ3s0nf0APYvlFoFSHZUGpTZ2jDrCDJFAB4GaQCP0YBgHqbSWfaluU9
5gSuWOsBYqsKE603T5lppGy9VufjUOjv7M5pfmOBYTn3y1UYwhxXYVkHjqv+0hIe4qroq0WLj/Ma
ye0xhq+JcFQSri23Cj7NEfhmvUkhZl2l5cNh1Nh3JiZxy/s3agPlXlqCkyBa0Fcmyzyvk9aC06od
N6vKCnJrTINhs7Np2wFBWX8/pusf5JgYfttbw0WbaZbvH43K/FrP/RCYA5lPtZl9QCIrTmNN4HjT
IEyF3Xhp6ym6DPoEACTKZt8kd5pWf+GAdqVfd9g/rOSyP8uWj2S6tB/r2lnqIG4k2WOGYZCB1BhX
AosrRqM5vZAexPP+NSGyxsUulLjrhiFeahOXBbMwz0465S6zI8CswiTtKNGShxbk9jHuJpI4UFc/
7F8b1dq5x54r9f/8QkbPAAmCRSCGPZAjy143srnSKjxPd6RdDxmWg9nkB5a0pLqsi5dlVvNOLklk
lmUCFLO658429ncdju5LointA9xyou8WgswLR/KHQRlDPaqHJ0UjDXCqbdw1xte0opdSrCDfuzRf
wtmRrQMOTs2txEQLy1Am+J8w9DVtQ/AOQawNNdkP8OOtgoRTLmLnBbGOEa/6Yxlp7MczxlyFiYg/
l4j626iRpN2RlDeqKmxNh7WJ2Wev5jxb7qLSRB6Z6oMN5TaZW/JTb3fxQ6VJ6ovufNYNs3wu4VHH
aaSFud4n5xnk1Xn/iE7894+asnW4+k7tN0+MVQJ1aIfGPjXNOntVj0VwUIfpAn9hvIyAXy4lUHKy
YVYnIErkAPcv+1TgJfEnZxCnNWd1BQHuA267W5lkeGqjSWOS2EdghnSRn0kJkaEtQz8mjLn7IjsM
Pnth34k0Q6RTVsOdzYJk/6wV5eraLVgps5AGhnSKjvfEGBQUjfp0SDqE3BJckiEWT5aMkgJ/2cPg
4GQ1zZVAILOvmWqzfarZfk5aPZ/B9M1ndrzfP1LHZT5XDicxe1duuDzbd9PQrO/sUXmT9F4/I60W
7759vegxx9fOdf9s/7qg32SnAzEm+ooOi/3u4BTiIcUOc1ZU7uPCxAjBne2dY1kgzxWG7rHWRuc8
nohqXOWVBIMCQu8h3b6a7l9NCOopFBRbu6PbIhUhEOhemcJAWvl26KfVr6QYhFlt9AizGMJhV0NV
q0kRqCIaxjKXNuaiC1HQzWQtAZS8+3Yq+5sjsw2qZzl0hpnno35YI50/nKkOGybcOrftaf9klP8E
XmGcZDHqShjr2/J/VogeL8THViTls1TFPjdy+7XDFtc26XwqJWbW7CizuHUumKKy6bB/aQUccN0P
Y/qpnW0Iza0+Je5OEZ83uHzPDLDakrxmgmqcsfl+sLdPbYeEmzbX52Bc1vYytPUf40Zc5cysvJ5Q
Ss/c3DlzZxNHU7b3O/WbuY4aTGmrIy0hazuWoFabyK8Pg9koaHGAqtuJFp8GBAYH5lDNg0xkdFp0
0x0r6a8W8MD3rUa8OJDL/pqTCXaGcPDIkKIH7GVhhq1AdmW9BJBXY2NcJmYVOPwPw1Uld00nze3m
VFlKY07ZznNZEwekWTGDK4UupRZjeWzH9ZITNHZeSf8DRiLQH2ZMMraP9gMSa1a1QlvplFkfbCmt
QoJEjZstdcZNr1TtXNXTs60M60UyLIy2bOKO+IzWi7UHUNprTYa4qb40ZfmhNRGfJ4Oa0z6N2II1
OnLSJblodd+d5WGqjzqAGxeGHCGkQ0TPa7BJTiEdgrVLLYOCSuUKB4rWIs1qW28cClLURyxdjRFj
6gA2NwDER+8Nw4huheXWizhrJWFtETE8d1Mz1XeSnsd3FgNn5UjI+bhKjZfQdfIjp0dqOk/NKbOY
h+KescIEmORh0hWH0NXu+2Ek5+uAXAPAvbEeFzvutjtFMoR1Wb7p23shI4j+MNRNFZII3N/HRkmu
NCsLJigJ+o44+2It+ld8HPrHSTdHUhpE8tKmp6jh1RC2JRiqFeu3g1RGnXQ0Svto8R44xXGTESvb
bOnPOTy8te4ukCqj1Sju0IWPhqtrFSfF0Thk+fLZSZOEiMo+eYhpoDupZJwbY47eI8i4Kj1YXUWa
DB/S0nK3bCB6IdbFtUcyl+1VPkVWC2fdXuajlOuVD2aqdYVVC3q4kXbLs/KklKOguTl9dSQ2Y3qT
gc/dFBaIR94rWszcMdOjcx1jRgK64y0Z/p58JAhN0eP0EeY7w6TN7VAlffSI7OaLnGfWFyOugAbH
RBdPDrl+W6qJbk/2VYX86bYLcWtLIn9qBqf+o+900tut5LWIptGLTJyShaEdVRQevMAEX5SlhCno
X4eGDLpL1hgyjfrM9IxYe1tNvXnUF107KRopXDWhIgGOVvsyppLFSa2+XxTksHVqobDF2ROy3owP
eZ+J8De75V+ntQSQyhYYBpX98i/aC1KoTHsYSWVKkGrdJZ0a8ieVXRn2pJ3WDEbGiwa578i/JTnV
wT4AlKcizhWQgSJubZZ9IhR1PLaT81j36icZP/hv1sG7euDH3q3DQhhOnqlp9GR+lsutgFMiC/nZ
kVUyDX6puDONipMtQpjN3u150bPkMsPiCk3O+umiqsRAIqJxjKW/B4LnCdoFR21iL79iwPUSerlu
XpCcl5IeBMgxKd1GeR8vAZEpMix6Fv1lWRN/lC4675TsDxhosBW0+QBMMvXkQf/DdiIwrdPWx28z
xhiqitB7hvtRmNckVzDkOHi3WyuhUd+II8rvNVxxQNBkSOsArk0W2CYeL9GrAUYD4SlNoKYMwKyk
ek2cgtmxwRkIdBtulmf27bMSLW9FI+QQqYB21iOY5rOooNjOQA4wqj3+/Zmh/rqA5xGaXHA1E1Ed
a/gfW2C1sg42d42SfRkUuMgqPkG1TXEGxm7FiMDQOlT8WvthnKqGC8Pa3/Gec4JEq5gSFUX8Wi6O
cvC9zszQR8OtPSVmYgUyMMiH0hHPio5J1ogVsurxlyV3Y9Emd03RWr8Rp5i/zG5tGkGYr3Gzm7RI
9Z9GgEpVwHfPrerYLIr+RPrmqv2ZOkb5mGnEVllVmt+aVHoY6zeWnfl1P6gK22jixJXQnO3poR3+
zJcKF1Jv3JZFIT8JT2hEq74TRnFyZtW1trwkMD9Y3/ArWHUqu4U2EJW0gmwG6bo7iGJV+UiMmvxE
n5ntBFbjL2J8SGwuI0pBJtIKXf4xK0l0ofOHMqIY/sQJMvv91CheIxL1ruyJ39Hkb2wJrbVZUM/c
3UsrTZ8gnQZ1LR77Mr8O0lSfEzVdXgj+9nC9WM/lnH+UDOkh7ePpaffkTdGfZF32v+m1KIrx89bP
ljEdWJYO1BKd8y+zFjvWY4koxKPSeXCvLW0rZ68UFjdz4W6rsvOF7k+SL+v+IvmiDFbJ1wgiHchE
3Mpi45CHJaR+FA3eagd5HsJMKvMQLy+lItHsQrqNBHYnPZaeULNCe0V7HZrZybLCmNWeFUbZSbJC
KrHDND9ldsgNfXELm1VFWNlhQ5yzTJc2HOWQ9SHvMMrqIayGTh/iFZL60HKCsQgdJ5D2UtUgiYJp
2grf07jXlASUs/qq6aOWpvrBB2IlYn9gkAv4zZtaQV7oIjuQUIfnJM7L69o3bj0F7V5VHVDwslt+
l+n3+9GElrr6TT4uhyQ1iJa19f4PEVpExv3mLW/8cjdAmQmxwuSWQOdb0X+iYtVaLKRYOEAn25su
3zQwh/JWVntDHOO0t0jeZDEgw2LlhjIm36uZDn3vl8DKOnLPb013axHBFGdEbclt6G5TdxPoYZLb
0m3CGAkmenJL9Os4XjPEnnh+x6vg42KrApAkixEioMQF5phovpfcAO25IAWksmmTAlKiPH9TA7JM
MZlv7ILAmflccUIIqJCSvgkC+3KrsQwRBErRpgYcZgheQWMRehtUFhfeUE7Dog3tJTSXcDW2mpPT
0jCSPKnLSd7Lac+WcbI4tmejPTc27liUoOccNd5e2XihGFwU6Auu0nCZ4usQX81mqy6+QgRs1mu1
l21f4Q2Z2zJjq6W8qfZ1QpdT3oby1pW3FlFOeavnW1Xe8tlLSYKZb+l8K0rSJW4JWj6CJaebPd2k
4uawOgYWzJsh1a89y5FrXcxPtnZVEhwb1268xvp2HEih5+NiK8XiYV816zKLi8FfWlxwZyEanf6p
hEQGSaGHRAyJDJLwYvSQcXRCCflNDDmz/SI77Z9iyPWfSsi/iiH/pYTs50ArvoshUUKW8Kh2JWRO
Z7X9lxLymxgSJaRCFF7zXQxp/jsxZLee8SyjhKQkEkm0TQ+JEhJ1VLbrIZFGtfEPYsgV1ZR9NfZK
VxBvN8W+UiN/dhHIX3r+6vzJISyVu3lcTXBz/v17bKcU/bCY4S1m0Vl06DMieP0ZPAfmvBxgwjXH
tkxyooQs9bEqneSQLI11IcIlu0N93Xp9njRcexYSFlVMy+MW8g78Sr9HCq4RENkQZKTRyyM/bYH1
tBT3lYOQANJJ7NMhNTjj6sLvDdO5Fwl5WEMdd9hduCLHDvnWuJ71iyUtCCrIuLw5dNybPEIIt8aT
L0tAgeSprl2zlJKX1XIgEuIF/c26jonaLzcKUgU2fhmh4Bh47O37f2m2IlDs2mzoCTqZ3G8lmMuY
bhV7K1uU15j9Q+dFiyd1Xo+VXqBp3srKfWcvmsgzLHPBPsCPdJ9RoSX5tK2oCCYA0YAVvZogrYJq
DGCLUUIJOiYASqDulTnBMgYFVkIlqJzA5mazV+cExhjEbKadAJRVrgalGrDX3fTznl3hdwkAHFBx
HSRJwJouSwLs10UStKa/cu2HiLD66bAVWn5lrzb22QHEsldgOWYeIHs13t69IubDNjTErUriCfut
2DNQZG4bEl0wdk7bEdA2RawrVTsebGrYU1PmDxRNS9JnG7/J/CeQAaTPaWySVF9xfJED7QrmPBjz
YOmCaa+ho0MSdF0wi61GEfT7Ee+GYgRZF6xGUIpgMYJcbB+k/6xYYO4guC3Q2q2UNhBZsLYBOA8K
UPFk+9RgE7bmC8WfmcaPfl372uhryVbws1rLozLFS6jGi0ZPqrfKPpAQOzgI4bbqyCIeXAK1ITb0
ratMLmN3ajW3gjhORZ2XAf4j9ld4RKZRU+Qtew0dBEkf9MbS+Y7ukwYi6X5ibIWXJo6Z3gZJFaRx
kHGy7NWOQVUFgBPGvboqwH84szZXAjEGjhIsVSApwcppoAb6GJAbau8lVIamB6sKKGcviYxu/hec
IXtVJvI7vzFJwvORnd9lsT+zQij9bPDpKzXQLk0vNb2cs2TcKt0LI5BluxwlxvFIwNgOC6KHt1om
V5e3KogXN90O4uRe5HulnZdqnjR7JE0UjjdmPtVnDK+3amdfUsm89B3VVx3fUn3Z8RdOEsefOE84
Jbpg5NzgbCFjjctDACSf9CGulHUX6EbQie/ViIACtTQbQcHpw4kjtkr2kthWtYGzBCqZ4m0gMw3M
AtEGE+dIhsU8GG0COHyutDbGOts3R4xmflVDYiT1ZCs58eFjUtLoIbeIG89h381pkm1FzAryb0rq
t6JV8Jsr9i8SQgTtGOF0i4uUxhbiJ2VFJspF6gQuPpCwZwvIyLVJYnLW5YWwBNM1hza/7l9OGY9/
+wgp6dIf8Lu8X9V6PNo9K3pjjl/avo1uk0p+ZEGq7Ku+mdAHM2WUYEj6MZEsxCV21Z0WXmqhWRBG
C/E+6/TLusTJ3Z5qZSRjTHfDrWAxnfs4obncD/bBMKWPdq6OD6OTVY9asdHc19+N1n8FyNiKtcGz
Gewx2WGV+OMF2+miuMgkixxvNUkByCvcYrVoDkzDfE63z/YvqbAuoUxRuX5Okss0nWv9bJdbEV+b
qqdpiwY+WcPJLLaynLAaw1gNGcTkMPqMrSySh5OTxQS/OTXmyddYiaWkzW9lr2dzPa/2mfbzXFyo
sbhM40XWtnLia9terfhat1uNzrVsr72zVVHd0uWWVbceknLjx8stmm+SuVVe3KV7xbS1prsov7Pz
LiHc3JJgjy0qSFiaOy6sO6m5RPElTrYq9PM4nefpbJVnp2TLdRrxJMMnTV2tONnDif2h6RCXsVUN
+6Tdij6ObWxl8vSSk7RsVZsnJT2X5qlkQrHXUlwI3Z54gvZ5Hi8Ki5uR1ttWDd7hltbuVV+vcnvO
gPVcywqQz5VKlhuVVjdpy6n9zS7h3wgsbDhmkJO4YzOx+gWLrYhqjpqC9Hl6XKgQJylnkVLq90k0
S+5UN9rj0ks15lboCiyBXkx006udrg8RSM73NREiWkyweaE2fUDncABBCZdzhrTvLThL78dYPVeG
1T/RvxyeeolLl9YPd+ZaccVKERRjJQ1ra60/2G3hZ6P+dejSl9p04ifYjB3ZI1uvKBpom6Rf63Ka
vlToFYUJuWPBIrXBGejtxq3yJS/6k6FzURtmtX1ogPAd16mT8PG05SGVlsrNDb174m1qsu6eX2pr
eCZAgvGaSo+Y1ic+x6Q1gbNpw91qVM0xrVbjsx3Vd4n2AjrD2RI9x3NbxO9Ue7YCS2VPOFaa8SBK
aXY7Jf2QV511w0OJ9LrD4dtI6C2s+iKgN2BumOWXLlHPoL9N8gFLoEyixtjXJOYnVcItFAvtXsiT
chkTeXnYD1lLUGFDp8uz9YhAixz04NhVl0QI+bFvlQ/8feazmEoGnqmBlr5XrqgnHhdTyFAjerCx
pq0fFC5dyOm6TUo7lmdtBmQRj2n32P05CeC/Nhigh/0giTg6a8dsbtfjGOnrhQaZ/qExL6yA9dd6
iJqzMBYbYWecfmKk80FuyuJuSJZ7kJwNl9RZ9lRaIqTAQ5GQp+6dTcvxXRzRQYvyFiBJEo3Jkbuk
SuaTOtfVXRmZNQ4OrIyNXpuv9K++KpJWvS21OBPaE4NpNm6Ojavi728G/2aHTOtlY7jK4ONU7IM/
XgEHa5LM0uiJTYiF+i4d0MlEK8ZyG4DnayUrb+sK16uRMgOjkSQ/ZiweCzDIHuEWEv4IJ0jtJAZY
9o5SSlSZhKBPNFIu/3sYtk8xSTO1x/keaFH6WNSK9UnJMQXXEinWwzw67xiHfJ0b+xYbz07xEokX
q3jJ4g/JXu3wQTMBVm/Vz0RnB2X9mtevcvZRZB815XVaPg57dctH7mYFF8m5r++sqe4ee8N5+Pu/
G5DzX9b6LPORfOJ5BogIdfvHP9zcEpdrCGyXkyzdd2Yy+UJezWAylPmjDbuVTGz4yvmkwBhdCgAN
Fj1QZTqP2UPX2PB4OiLEFb32IClDJRsUeEECiHuSJl80u48fmixWjzEis/t+tEhxrGA8dzIMRcOw
rqaqLR+NWTOh7qiHpuXvkVhoxQmPHN7HlvTJAR3DioOda6aWA+GqxtcIl+xxNWGbSoQn5Up/p5sD
tymtYV1Zd1poRKXyviujx3XItA+jKsJSquQ3xf5iyxaYYnsVZFxzGOpWXMvCtMhWV8tTppDXJfL0
GT1x8uzE74a0LNhhkeOt5tnRXLrq3hkRQ1cErB4ncwRTYZjzTU6X8sqU/air5VeiPZenvkzbwMi5
NTIvqkPdluIHhffhAcoiujAdizZ42Ys2NutbrdefpgHiJG39gVVeQqdt7Pug27zFbjI1x1FCr3rM
iop4N3jwYyM+melcY16gkbag6kZIu69B9oOpqNkhn9FI/u5U+flMAeOAeQyvDXMJ0ie39uJfdoX8
8rGZnW486ubShiKSXvRp/jNZgWASaj/eUETUROwFuWPOx2ZEmPH3D+BX+gEjEdZ6PAROVu51P21L
Y3ImewXMw1FLI7wJsXEerBbj4NBHgDiwHFQGzfysYVnacuWyrdlNR/bIEJFad1ZjdyJMG42J7dnj
x3LA51igNtFZZs/xG1zMEi6maN6Paxn+/SP/pX3Hg+aSZLE8Q3Fl/axyS1BkTgrO/yOLVKRqJhCh
tIwOoy0bbLG1P1AriJs0Yqze/7//5235v/HX+uFb+6L/n//i87e6EV0aJ8NPn/7PU40Zsfyv7d/8
62d+/Bf/c0vfurqv/xz+9qeCr/Xd5/Jr//MP/fCb+b9/f3Tu5+HzD5941ZAO4t34FULk134shv1R
8Dy2n/z//eZ/fN1/y5Novv73P95AYA/bb4sBxv7j+7e2SE0GUn95gbbf//2b2xP473/cPhfD519+
/uvnfuCf6v8JFA3Ls67D6GEogWV2/vr9O4qNNN5RbQDCQBxReld1NyT//Q/N/E8W3bgXNoAAIRgb
mamvx/1bxn9uDGQDbNz2ztFZuv/zef/w+v3v6/kfRJs/1OC6en6x9nMPX5XZ7Ggmmx4u1iD0Nrn5
X96EyMdZ2+WIaJIacQegAJUZmQnswZw9YyU3mP3QYr9ltnpqUKiJ5EORvKkQQ+X+oDSOJ1clUDLo
C2kBr25h15sdWnRgnfxS1PllteHgknxPBHn0XJNEWh/wYq+8t+zxM2msTX6sxs9W+ac8nKOHSnow
BKzyc/EUGzq3djjwAxmGnoLE2bo6pDKW92t0L+o/1qY5wPDINAD2DjuwbVJtipbHdMhs8xApz0sP
9ftBN10Cmg+ktftmhASatNms1GAX4yC0Y8/EnVqSOK8SmEOmHCGEB/lYAG+ta8JGtQck2oQ0EojF
JRH5zrZ4ZVe/uAkLWbuGNY6+VEx5GOV4Wcs8SCWeAtYZtLudwRxbLv2UTsFSvtr5F3xb2jHl72za
0aGOugOGtWNeSYeYsXInNLDWEuAHcWgssusyNwJ7HOWZa1vRITXmozw/2gUZ2jxuAuH8WbVQNySn
ssDpRn7GlOYBDD5YU+xY2oS8I3Hoo68KSReOTsMoWk9IYN2JDKsm3vS3tHDYRecgNcXUHvP0bWyv
MUCEkah3Y4tJJ5O7PMz1wdSOBvKeschRf3XHFtC85vAgYmTRKxo6HqdkvACrO6pA17MPpOI0bXJE
ttYrB9t+HsWLGmZAxNNPNUvP/rNFLLVut8dUgdGKUa+oX8Anu+h2Z8QzpfpiFP2hVl54TJXWkSSn
gW0ko5Z/YURbhDWClOFQc5XVQe4CYIjqxW+RuGv8u7UgyzZRDwOjpXLJXDX7xFnVGTN6Z2xIentU
OVFzTTlKDmuOyUOrjouctG5eqPZt+4oDvZpuAKgz+TD1MQTqt4kM6iRhw0cgbCt9KVfYGwuAsPgo
ZQPbQJ1X71z2K/QmcdgeVsHL0o8ZAF6MW2a0oVW9bVK64vzEk4m3iyD3MtRrCBTdp7p/6Yc3JemP
ej0cOosTgtNrjuELOFAz+N/IAONM7f+xd2bLbStZ1n4iVCdm4BacSQ2UREmWbxCWbGOehwTw9P0l
T1X/xzoddvz3HXFKYZdlCySBzJ17r/UtIFrKF1bhy4ofHYgDlVhr49vU46dKtW3dkREt3vruqLd8
KAs3D3fuknSrinluSBikF9mY0Bee9WIVOS8Qj1fCV9ItPRhiriolC6T+GPq7ZgDujX8APKHfvqA2
CfAw0HTK6GlogYvJrHGIcqLBg6WtoUbwapNtE6odAZ8EWwVzaKyMpg8yAmaILFsvuN+qZlqr90xy
r6jfJz2/Nz9qLtZZsIwJcdNo6Xoq53Vecjt1PGIzK8rEn0uY7upecc/K5zloepAi5YuPGko7bbyN
04+/LeL/Xiz/vjheCZx/b+Ff10ZbMNNnjyUf6nOBoiKs4j4ZAiP/2VWMbe/9muj3HMCK5JYLgV/b
LwWlFERIXpmHPsTgUdPWundAVYxBaNrOfOIAiEmy26Xr0mMxqbcjlqUBh2Tdd5wos7VNZzym7+ZN
51bsUZUHfatufyAEIgv8Ug/y+UM9ZNN0fQawjwtBunVKArwgulUPLIIvgOblPECeeLEYuRgmAQY8
qoyTjIFDA539Jg1C8WGlb8U25Kc5zrEpqrVsPyC2dRMdzfQj9NKg4r1GXIyw1Qkc576LH0ndWIH6
/f27+4/p8ed395N9Y3DnIqss3t0lf86mC6GiqwIZscUz6qY01bQk6JufpnWHIX3mADhjKezaG+Bo
m99fyT+6XepKQLCCFHSVYe1zJCBgJazJXcbnXLHZ4VNAk5qy1ZF/eeCNs/1tQzI5WiPvzu/XIR3Z
7qzGFISnpLhCqw1+J8daZyrThHxxZK2BUT9k1X1BBEDzUdunRjtoCf+9miYGDTKKnX0thkAb/iDH
/2wO45UAxoQFCPrcQw336fBlpqYnOM0MQWEhXH5Hw7YehLNa3JtK/xOF83O79K+fBfWXRFaDY8en
z6/V4frFE9g0aW3xmbvhOidhedjZU+C9d3+ix/hXK9YvTyM8Kh+QEmELjmX/I+FCevRhDUJxoYyx
lqQGUEAeqzjbZfjaJ4MnUJ+32fRhaM0XTVv77BmSlpIGsVUOK3SxyCNIIfL0O50k7Tkz2Ufik6EP
t2qVLzsjCUisjpCZTVr9HlmvgkFyEj8TCgyUs1nJpP9uawpre2kx0C8+JuSO1NipJfjCQLtPoFSe
njtP3iLV2Fvlhzth0J23eA2DEFDgsFnEt2YhenP4kGgqXesg2FxVGaG5WeClbdA1u6w78R/bKxCL
cCNnZsUm3Z9wP1ERWDoRL8D/2gIayRBtTedsjo8hEbKd9lYwHIeSue955ufmI12aowH/l2vkTkFF
NQENOSu2QTJykGG9T7hstT2A2wqkCsBF6qR2PvVqI3lRwSjhi4CGXyEtzwhEVPsJS56qGgCDBJp6
OIhVyQnMVAt9G7bH4d2FTejkqzTGZD+/jr0MHNjXNN6gIO0MNj9LS4MekYOlfd/l/WvXnPtlGyGC
T+FElbRJajaJiLpnLrftyIPYMRfFDzCijfSXH1Z2Bt/GqRfOD1MFWUbI+L6q16U2lKJ6XSzepOZ2
QZfqUUHqyXrQ+FD1N4RYK3XNDXvenGS8zmw3Nsnauh9mlZfpbqwMkRLknYgCuOIfS40gtrWVG2gl
wRZsk8OkjEPRwUyKV7tp97opGd0f0pnBJm7iuEPmbcHDdpEndqTjRGuY7yZ5f3pVwKYFTJzEmyqi
WHRdArZ2E4d5eNPkKsODm5nS5LuUmEbkjbzDO8FoEoj14jIuYlsZ2TQtg3/doqpyCCcbKVWPbJew
PK778sbDS95l37rYDkoK2NB50cNoU1c/Bl5FSLUJqYPU2b3ark2ZUuOk6zpDk1i2e8lDo3Yku/iA
LSmW/GVJaa+m9BCKmpTDm6p+ALHLRwGN2eZexI+cwYcY7dPo4dmPUBvX0SWHSZCpG0J7QVnNc/U4
6tNNncVrQpZv+4jaoITh3n1I792guta1aNXZal5PBvkqoaz13k3wPaV+KdHcqp/gUVNz41dc3DTS
fUfIDzjAPbeA5kfBjhVl6zliK3P5yx1wmRkLn8EwjoGyZTCk7PcOUzBzflWlCNWNH81r9VQmXRYs
I/G7bHlm88QdgIlrD7swqAMT3V3Edlgb1BqxwYHAwEJ7duFLqPUCBTIzaxrF03W3Gmx9DQARkdS+
lc2+KOigEFSonjJ4YodZVdXTpejf1SHCbczrGaNt5MY1PrIcpC9XUcKtrsePENBMlgKmKB6G7kMV
UdI6lAY+0A5yJPgMP15X0AxjF4WjNm665WuWTNei2HE0YgXFpi8wfF2cqVqXdIbi+qPsXuus3hv4
bkikMUrc0j5ygh41TZ2ccTjs4H1BOVgvdhJgjByRvhl9vov1bN2RotF24b6xnzyvwmUEq/9umyZQ
5/hTdbLo4nqt5SVHmLU5jkwnsfzweZGP8NfBgrtBHR18dlGfGw3syqoErmx1WmAZD5hEMTJoQZV8
14gX0b/4OQ9h/5BM6MpYpN139Z6bdcMh66MtWfepM8mJ2YySIjtr9+pENQDWdl3Oc83MZkSOQWPT
6lzXOWPwqVk1EeTQgRMLEbgEAtwTBqUkdNwEX8Pha5UwXs5Wjjr2tl8BsZEjV6G7RktkU3TJlyF9
1sufCVpUlH+M4PK1RJtccw1iZMQXru0CCx63b9wucB1QmoH8WSMCT1E5qv9NRb3Regtc2C1unLyK
jzndG3NKVqDHz2Rr0e4NiQ2VlD32Sll0Eb2vAdehIdh3+kOTHcN4X+cXH+lL/G4tKO3Aj31N7I8k
sYLoAhJ5pT5rWSY75ylvMYlZP/9zsVVWBn7/qGvnTObrBsN/gnzCq2zOFewlxq7J05WUNkXezAwX
VgpIY4bwLViOkDQ1PCjbRm26YlfpP5FORnq5GpwWpfrtmMstVQYRUJHN8NN9LYeg1VMs4xmIDUhD
8TvJ9k7y7A0XVtYIr89gZEyhUVmwCP9QsW9edhLRReKCKTpSQcgQr2md9c+VeZnSbxrLMztAyOPD
YbW/yXTcBBX57/aC7vamzC8EC0b9vUOSwUgE1yHTj/5y11f3cLR4FaoIUh/ZMry4m77qURaDDIEl
jZthHXk3PkwAwVuxbF35zbfzdUUIZ2ZgOKvZ9Ijqjjx6pMiQNf1YyrVPaJZuAm/P/Gctau4XwnzI
xlnT2kHNKXa+GLY4IFfJjLgDmnU7xIADes6MNnhjXgHakBiwXxaRYog1aOaZshMNDAwPEssfAtF7
n4QjPf9aU/j3MbRNjE3xvmJUlWq4Cryblg3BbfOt3pJewydSrzP9NUL0Rph11qobCB6N7FeVO7Ci
ZqwCp0nrWGAky+2IQYw5ACi75dU2LiqSVr1+ngNrfHON5xlTW050Z0RHGqRMAsEFK5KBMzEbU8Ck
eJUwjflGGRhgY4a0CowQEr0drogQpzxoQcx0m8W3HsyShPGJvgyLJP6UvnhtsWFMsA8NJ9qEsJFL
MjOanMeqGuEJsVRRN1rYZl3iFR3KSbeM4XQ9qR/cchRtYuYARUdYbb4xvXClycsw/RzogYj8S2cW
h5jihc56gtdl7rKf+vIFy7JpXjQxBsNQUHpcZJuuDOOnaZDohpfSXLRNPsNOYyTY2T/VjWKwNunh
z0lepNkz+7Q5etBqBc3UkG7q/FzMMVBvSc061072Sv3amePNHnUB3sufjiC8vKPyTr6W2JqYlKza
GJzWLIJc/1rOMG3IbV7afM18LigQsKS0GixyD1pTXcxCGGe4IV2LTlUSTEuyMjFR2ogJytAKZBgH
Lahaw6g3DlGi6vvBznMCTldpjTWHp438JRV7FM0FDCAI1DW3HYyhOR94APAXpJj+QNnJkQvNcoJH
oyBhtdNYHWLyX/rm6zws647qUS0SqBW48JtGuXgmYGZqeUfsY3EknNzpoeDsrr7N72yCTYZVz5hV
lOO2gqQz2DxmqiltxbuljR6tLt9C7v06A5LRQ0rjfms3P2db3hLluUpoHqSFEnkZLAFsFrNx47f3
Ockd6rRvetOWGmUKCx6JDFxPGywmU1TIRUARDpodn4rMJAqkhVZz68fpyxjN2wRvfzafhjY6kO3y
Fawxq7rcEAWyVv2O3h5uS+qxbnl0MuLK2M7GiI4T/b3EeumKFH0vlShtw87Emked11cPUc13WEiF
6hApMlmmFJ5Zx1Y8kRZD26fMoCSxm5v4/HJt2UgIfUsyQCb61oI8nQfKcVHvY4pKtuxAesmaW5kJ
FLeDcPe2jNfXHuTUH5karzqdDghVWmKiXQOTFMbrxuFxTMMAnpVsTib39Cyh/bGfHsaczyD+joCc
6VnITik3GX2fzhE3zviyLO2dX8RbVbPH2RJ8X9yPLgKHRJdQFVk5Brt+YdAPYkCT7Z00O+S2zS6O
0hfT6OgRaeuiTB6vR/D/Gyz8abCg6Mb/9Z8G/j8GC4f+W578OllQf+HfkwXvXzaaDNAXnOmFBQHj
P5MF518OgwYgq3g60HazcvzPZMFy/0WIBUYgRhGKz+Nwqv9/kwWLOYUA+awkq+AG/n8mC58xzYKZ
CXRmJtiWgDDuWp+Ga5VdNEvPHItpmemz873NRsV0NZIIcqLFoXlfsI+ZF0uwyrvVqi46ZqOOs8OL
9uoJSdtKPrXEPC4y+tE1afyn8ePnIRpJngbjGKQtWI4s5zONNiWIyRcJvkXPYQSbWkYK29Or96nQ
8yO/oOQ3NM/ilAtrPuyOcZV+dGU+PCVNMWPZypqtGyriWjhbR6yFzAz5Rw4IK37+7TP/X/qQ1xjJ
v3c+BLZqX5HEURTz2X1m2+VCfYIQzGkdT/VbFblvMB8mmJRMdeN2GA5p1D7MtbasK9DzGF5JjOpm
DvGW9PKtF1XGXidACq2tRZRxUz6QerK3JNGg19lvC4DEqN9oDhsPrmN3j71ZX6LatE/64KldpeiS
Xe/P742ZBHGO7qlrYsOBB5iUa1Prhnuv+yLAclwmVL5bV2S3hHB6p3BwVN0YFfG6oDwlYN7eJCWN
GjHm1ZEQ+p9a7w1nOx+LNig9p6JtvsgnLR1IxckXwqb99qEf0uEP/T51+9ef3k+GXqDDeXKYsn3+
5BfNqPVetsxZau1eDnQdMrVF+pXGWIBY5CAJ/UPahId+LvUbMq4uc1ym+1TXCcVOnRk+2PDl95/x
lTfx6zXBcyIa03PIDlaPzq9zuCZrCXcsZ2KIGms6y1ab8A8sL/W09HeyF9otLeYoX5zHMat/LqpZ
ep3nF6hsqgGNxO8v59oo/PVyLF33fEaCAkkk9p5fL6ctkw40ECdOBgv1xu1jvO4OqASpU4WKvkJT
Yi1njE8UVolkD6utAjvPVFqHKWzqN8NDqmSSxEQekX2obPHmSel/sdKKsz8OLAJcnRMxZPrKi4p8
XdDPC3Qjiw/DiPRDh8RB8neXo/ZnK/39a/tf3mqk+fggeahwkxtXJtTfRp7AHoysIZuOblv9Ynnw
BWp9pq0YR+/VIpCOTeO+xHwKlu2bJbEcMGgztqXZ06CuKG9/fzmfW7b0nnVmC4x7PdDY1/nw3wew
/ozCqep0fr5flGEQjwS18YyeZ2aHZ3jkZ3+KrMPvf+bnxRl+mMsWACFHPQGEKHxSN83jkqYsNlXg
VuWzZmcsJmZDB2K0eBR7ij8+Ras/xEmCTYSI1adhaf0tQwVggTn58VFBgrbvPjSW/sXQ4/AQ68x9
lZzsD6v0Fbj69xuRK8WjhGyHvQlF6uf5dDnrSYmDsApgP7+i2NDVLMi81fXxrSt1amRRa93uGnFs
VRl2HD98dCTN+nQY3jRBHl7ZWfJELvSrF2Z8v51nC+RKnqiuMI+Dcm2Lon3EmzexxHcA3ciEmerp
xZ9Ed2cXtKjmXq9eZwuxx+8/Bqbsn1Yi8PQChKDillq0tj9bFhOJcy8z+zrI28w/aIa7k73ZnvO+
04jsCWXQzO4lLIzyCaFldONpYbQWZf1DzIXxoP5sqpPqKSoN7VQRrQZikpOkjGvU0m3fnAWziqEh
/SirnB8DwOobd1xcogbCBVfeeNSS0XsYbFyevlZ9Cf2q3BNp9lWGsruMnrtbsomUHTE94wFm1n7T
Th54AHf299ZA+9UxFqCJvrCPjQuQEMDHXTjn7r4LDfT/hmTftLHyxaJ5u+5cmUNftchu8Z1XNxWg
iqCxMmiQ6CQvhX2rY2x5zmWHcsyMbyFaCND8aJba0J0CoA9L0Oky29cdKlzPkexMdUVoiwENsJla
+wnGxoXgV3+bCyei2+Sbr0I0G6APSXDVf7FqLvdpWB8m3UGDXKX+mpWguqsHgSDOmG8sdKK0GEex
XeYOAXo6tTDrGI11Mo5uo3LgvNRK5Ab88INB2C7t3HvIJc5Bk150WxuPvt7T4hEsiAkNt23V0mCp
zdA6eKR9bgYCGAj/RK/vJaLaXpEBk7oD7UWufI7Nl95wx2AJqdXnqACmoVtafexbzdhbmjWvlj5E
MzEbXzTHDE9GEWsnv3TEtgE1QVOWVKbrF6LuGXyEFDRTU8Zren3rqS7FD4oyBLffoyz6WhmcYwpf
eNBOUCI0WSN7Bvnuamy88sVoB9R1kTh4BisAAirzNg5DwcMGzbO3flQAet4Gj/BeUHTorwUFlKi0
U1TnWDTVrwDZIW0Yqoc+feskgPMOXMjmrwXGJoNg5SvpZzm7BPNCrQukbRCN1OhfIi9mGl+2y0Ov
BLud3tDTqEvj2Ce+eXBRytIpoF2vzfn3VkUKeuQJgG3fSXWj55VF7J7W7sPQPIBrHN8si6rF9HtU
FqJr8O2NaNmT+b2uTOd7gQMrz7Tb64PAQC167KJ9jPbj1NFF3E3cwr1eeyhcVCFkuYl7r0WuStWT
9r4a9ecUAMPamKKSxoBXbOxUbOMoPC98hFnAciWPWRXap0xSVXh9pVwMOF4a0jyd0jNuGDvjByE8
8WDgFN77XrisKFZZ1VQNd/2rDQC8B82DcKNHsXNoUtc5aU79kvhjejPUtrOtmhDeoli+RLQfj63W
j7uJ6D1cR0l0XBp72DBNsvk2960WM2GiFKmRzG4K9WWOzQzHTOqQnIUVprfsp+vPFr3j3BSGoua0
fbLT8k4GKDLbYDCxtITZ9IPw2fot8yLGi6ZL1Cx+hmf2lH4l7M7ZXP9WqROml5qVc5R+/yNBGb0O
I3w/CfEA66rSBI2DnsmWqhiQ4pZBt7jW04jopNAl1D3byQjuguHQGgt2JyIBVnqRsKKowduIaL83
B4LcRrN4mpL7yIr8wMyYR1xfQTQMT343ANxmIldoYxIkjnDPQ6byPe0wfilJJYCMpE8b0xgYl7kx
9JK222VsK7d1s5yG0iYwzShpdlqZv4qi3DuEFgDhmvinQIsfTLdmClMW71FlW69+DTkmSg5Ipubz
QFP9Bv7HuB7jlr6WH2+aapFHL17uCPDJ75aqFNs07JneJCJ9jAiahV6BaF2Ty94spvCk6Gj78CPK
J4eMiJocDwdfBVJEAr+1r+lIEsiku1CEZTrdZ7PKmxImiR+Tt3UjCchShDgIJzg8WYT49vqrrojl
iz2PX/TkkAt3ub0yeKwZ3PJf26NXds6+Rxe5iXHMY0guxosb4RQ2zey5Fsn4yNP35tozWDejt3dm
ouN1cw2QoKDriLuIHWYo4LVa9cXVVZM9EcyPgDVtR9R39IjZmMzpPbGtSRG1rCc4sRtrtMCyLjwr
16yEa2pCf93gs4hUjELDkmtgyyvtZqPlAwKjdPJvzSQG0DTR9NZ7uApZLQ8iyX42xVIfo3TuAz0h
wlZUtIGzqH/MtPGFSAODjHhpwMQsWF/gHDwyLaB1PgDmDd3sPexYyvt2WVV2XSLWKOGsDxLudN3G
T7rmbsQ0HbusGpmw4P6zj+1i4+cpQn0bW+b8NdHup0HehdVwbruCh9zA3+1aAq2ouUynyojhT6gz
T6zp3c31xOU70RAkERnEiSvPXW5t9BQdsiFg4UZj5u3H3sMDP2RvWaHdSYwmFlADohTHBA26eXcV
08fsqGsXiMp2yEnptezTLPRwUy9+vfZDTHqoV+xTKAnNgoc3rX3oDNv0yAMxnBO7nM8LhdPWE8Af
PSySjk5bqrHL+FgntO16LzxGbm8+wmuiqxUBhJ7TCmgR4mny7fexO63sbCTnQ32Rpj2tSsSwhBZh
lVyMAhKsX8c3uonkz00rlIFTepsL5kJ2luButAktOJaKRlSrL7YgNNxzaajpzPQebfJtIXMQMbEt
tDZed+FoPhcplv7CDO/TlLEqO76+y6xiWo2DHz1nxWrxgeOm5czIHKaaJCn4nmuDXw8A60nHLdEC
txxpiOqV4b+jtYIGqN6ibnLMjaMMYLFyerXMwSMzXk5MkSAsE9FzxUrbkvCRhVjpQ5U6w6qQWr+t
veJW2vVAv2ORF68J66Boc7wrOgj2ZDbbGxGDLMiEcZhAleHo8VoM4/ZHXLbFXQ8cfzEH66mTGL9q
ObcPixY9N6XbrWofDXrduzTzCh1YgkOAT1gOVredXRqweTNR5dl9kJpZdTLUP0tAOAOooe93EpvO
sbP5G3URNry8BGUaqyyomxAbe+pVrzzQW4dAtccwERe/6Yv7NmT8UJkoWnL6ww/kNnEfpOazl0l9
k9eP0+SQ+ybcpyECq3I9DdB5ZPYQRRTrspZnSQAz0ghnWQ/1QEzR1CwvBT6HNOGkeK+H4/J9JBIg
qNwjtQ0Fb0T+XgFTb12plw5X83FWDY/RytkGvJDyh6xGL/XL+3AZL+AhoeWncbS3fb87GyYRkvlW
o8105zgd+x0uhE0d9gDWx3Cl0zG50Rtkk5x2kUqjLX5culDj+ZPJLrWWL17afAfMBosI/A1t6wpx
wejgySuhyIxN3m3ajEdXHx3jecmJB+iL5Hmahi/m5D96siwvndqNupjxLDkvnT8/QrqMTkkCZtsQ
NLFtKzQOQ8TH9ftzxNWO98shyeGEBIDR51hrw80xfj2t+w79C1MvOUIn2OYWDxPzQII5pzwaydr0
1eym5hRrHvAzQOyjR/f8yia7folyxmK2FT10Q/t+fcNjYmWOTY0b38AbCi7qD82Oz8oh4sIt+i4u
LUKDVftzP8vAI5KHHoKQZgLqD3s8ujWWJATe4Ha3VRLeWaMz3mUecsOKwOo/WVT+8eN9Eh3p/tm+
yZXgR//13fLgAPmGGyJMrHtvJesk3iZ+BKFVR0NSC8GEOm6Y5VdedEoTv7tzlV91F1cAXnzweKOr
L/vBQxXM6YTgNnz3d8Jtq7swTbzd7z9aUzktf/loicqig6uTQefqAtjKrxcbhYU1Yslvg0QvKM4z
ZwpS6pepGk+m64wnhJaPjRGaKCmj8XlihJFDaHtVVQ58yghuzFjMwbWIZMlUVErUMUYBu8LvLXzw
Gkl4FukzR1mP32XSFeRnAg7VRhVH1gn7rXV9NkkwaHEHtsWLfetP7bh/vkRkio5isdKZBrjzqVMs
tSmdCqDawbWiXCZ2ytWsJnaeLytQzuRcmyFTUc3tGsakmr+yRZj+AWT6j6YgUceWzY3h2fwYLEF0
0//eh8Fty2HCgpYHpxMpLAGtjHvaOEjG1HtovZz9+ro5AFNFr0Vnex2aLXwQyL0xwqLvDD8JwESH
/4c74B/tKnVhDrHqcPTJTcQo8OuFkVptaIRCL0FLp4whqn5TGUN5F0lUoxGks0rPPwZYyBsNwhHa
w9Q6DH0GmtAlIUq4ZvWHd4om/qd7EoGh5eh4u4DnKoLu53syrkqnC3VWtRS5cQUU59pj8FfG3Ndr
G236sdGHbhdZHVJkYqgwOoxP3VAMh9LHdcRcvqgiGnCiTo+9kedHLe6GBe3ZsF8mbS0JMn9gWK1D
okHilNsDyjhEMnTn/Je4zElGq0i8B3x+dsLqR9I52bGZPDyPgGF7cqrxCHB8cr6O0VTdpZVP0tK1
QsB8vW+8nglnojt3aZyl++uTcT1oeaOGutvm8Vii+P2v5tJfNXHi6ckuQcf/4PaQdLPxMe9py1Z6
KDlrnryy56Wgw7hkUDiunYZ26fMHw/siNn91t5cSuXqt1folkoKUgF5SqKprnHT7vZ1Q/Jp2bz4n
ZXYmzrs7hKUvbkJvzEkO2wq9s+4M9aUyOFX/+yw6xuaBog37ISeNTT31NLDbCUZY27mIHhIU5zWD
9w+r/NlxKvshR6R0ooQeiDEpOaGZ6u9Hj+XE8cUBNUp1mFO7eOVNtzh/JZnoH68vRWik33kh1lSk
s8AiOFMksW2vE9OuT17v148mfKk8xO8aE0d/KLWKSHVfNI8iF7T5RxsaNBS9bW7p4RbB2VvDsehH
j/xeZO4UBzP4Sys1qs3kAWpp/faRnNT5mzWnHFzwW72GEzbfqC2mC26xbq1PZf/AZNucOBOjFEtR
y+EyjmZwnAZCOqRrTrwa1D00T0jDI1WT6155mQtaH+ZCFhr5mE8dz7dB4U/FMLSbXBVBZJ27aCbk
DdHw/a3VeSczj5uTGz0OhTad3T4n4SoWPTMev73p+4GwE7C4K1OvGLNSAGSZW1wYBP1127ia2Opt
aT6rPjjj87xG94sAP439r1mVUJHpH36t1zyulriZKlkES2HKY3ul0fHhHSw0qWW48Bg7szxYbXpX
2l37kNDsaX1cNeZsK/Zcxa0Sm/Adep2HhIb2ymrajwaL0fNYLtHd//yuL4D7LWlX43zw/XM3jxwQ
x8l98bqBB0MFpsx6Ss4UP0RoBuxJWfXcqPND1hG2LPPqh6OB2MvCBFjQZD5eT+6SQ+8xthZKTtrE
63oZtG0rcmtrWdU331hKxKaptgvNcdpksZCHuFm8YBns5b4t9AgRllpcl8oDfiHM18y0SkiVKnlL
i24KKp8A+UTOA6hjRrEtHb0pROSxDMdXu5Z3E8rUc5iiU5Kp8b0whPcU55yc657wH84NaExVKvQI
BMTz9e9Nal84+Ft3UcoXUSWvTmRPN3A0gxmJxmOIAOkw6gNTK72NNolWJzdLlsNr4hZAcQhBw28p
AHQnhrvUdycCAaGY6JzyTkmIbzfMluNkDeJmsdy3f98JjTtgGyflp4qpJMicAJaaeadafbZKz2FC
k658ORyEJm771CvO7DoFMwBposCElE8kL9wSA7/DlQ0bRxDlNUfg2bbkwzRE1e31S9c21W3EcZlR
IV4E4RTJk1OiYXHGp2kmuiu2UmR1qljRmOIHZlfbIHOin8XgEpNea8ZBhznO4ROSISdzb2H8ct2W
nZ5lQk7ezhk1RQ5KSddVV19AuUubqthff1d6d1nor1K1Z4bjIQWAtCNsbXrxQDXWi2WQBcQRf5Fh
t2HihSSDPt1xdGW+XRx6r55zl2NbolYV+ra12+54PR4XGKD6wYPbrJphWQx+xSrN5gyW3wkGyIrX
H955nrbz+bSDxjRJxxSA5qqUgG/qsyb2HoSdWkfHQmTX+n2Kz6LZkAM0nEVm4YzCZB/gNYJ/lrRo
WArwJQzX1v7swEHJZ+yhVnZndYDhzcj+ZqvMi7QPi7t5cb8trhuThw4Ylx67e3uNhzR1zdkaIuX/
A118ysMlPJE9qyP2geySh3V1iK223PfYl1YmPZK10UWE/MHiRUI4zPs8Rz7eCi0GIJPMWGO89LEk
6oXcJvW8XCt11c1JclM7p7257Bgv1W+1y5q2tIMT+NNUnjCh7zJ74kloeqTPKHTVfMB8Erp5DKlz
d2C+yyNYyNM8AJIvLXo18wQnHXodiB40cNqYfRP0tzdTR/JeXmcvUF6NjZf5YMBdpKNNhGiqZKp6
ouV+fy2SYpnq+8RojH2HU8YyloX0eEI0LPbYLSwA7wGrchpEjfwwOa0/VJHeA5DkoG0pe03oheLB
oAW4HXOQHn6OEPl6wjQL7DIwHgkDIzZBm8HB2hib9tfORmfGA5I7dk6/Hr4YjlwC167bNabt8XUU
X6IGEm2nJGZj8e5xF/3Ip8s8jpeymPpvWrrcDeV38q3FSjRlu9Gui4SJ5iu1krJ76+eZYoQgiXOL
FswunWxl14JB2DI5K9Mw/S/OYD7O+7SZwkejRjMNAhx04dw499erGnjdJz1FuRvl2baNtPaG4rY6
pQaC1lCKDxcs6bEDwHAiO2kNZZVuzADtZExgs7kYtzmuu5vOaaOnubcBdvrj8lYiwwaDoBPE8GDN
5gi0Jx9XYEu9teshaSe5Y7CT5L2Y5V7wrDzMbMRsE3XXbHO1jxn52INok0OQjm/wh5NXgeZHsSaI
G9f1k2ZFLuR3h+aUDe+0SK3xqFcWhrRGfltYCmms6ij7S1tgo6dNfiWqN3r3cB3oWGV8yL3k2HTj
uMfvkM2Bicxj1bdARHWM1EUmrZ/5mN32xsI+z7hxW9QhOnFjWlYylxWm/qK66xyYwIkhouHA4wCn
Qh0JCLqgf0AlvKWf5qyTCF719SgWiWo1xwPDTYpVhMpTfD/nXntf9taJT3gnJVQRhMPxjeTBDFBA
xYHpzNnjEPqvU56Nb7iTMADRFL4YrmxWZjU924L+GInF8VNVh81D4+w07Weki5xdmoKUYSmA+9oc
josg6EXvk1rhps3nNH9xHWyexL7Wb3mNp60o9fLYdx68TAC0dNnm+FyGBAn5bbWsNNa7w1iQLEMQ
iMwhzi5qNFZU00QQSG5vM7WYDOrSBp+kAz1/1SYrP6JrAwiTRLetq1UXw+6O2iibt4IG9HX+ppvk
5TmLImrojbeK/FEeSjDUqAPdCGMS0bpbS2RvC0XDlioNA1brgoNSVU09cGcJDKK/P99aROH+8zTB
ScJiSsbhCzbcp+aFYRVZi+YToyXAAuDShoXSWFoUWFlnHbRrj2tshwUSF+hCR0d/6s2m8hrMJ/A+
9vCu/TdR57XcNtJ23StCFVIjnDIHkSIp2ZJ9gpLDAI3QSI149f8C/db/nagsT82MLQId9rP32oji
3+duHleDP2BDLwr3OiSj+TL4cDBcAzdmEX9pk6JFd00cdn4Z+wbetMKn7ceet8Moqc9BYcoj0jje
7cDTm+e3ud3/7x9wR7Y4ievvHQkeLiBWQdVmZL+4XU17QggVxy84ikoA5EwdqAMr2/y9Gv3gMNSJ
eh/qMD2YeHmp0lg5nKEuYEz8C7LutB19avtCjwkVd576CsS2v9lFVRKsiqo3UMc/pd/9jUS2WD04
obq5U9+dKTEXf89uNnR5+b8vssAVSAaAWOYicTkhWFndhYY+hvg41NHtJv93OFjpGgzPzsl0BkbH
pU+SgPi3uqMkLQPtFfc0Dz5vdcIIwoM5kTfIZmmNK2uEE91kx6dqo/gbyZj1ew5nrNdeGwBZ7qx3
yt8DCJzTzUpKhw2EhzAcTMJXPSqa8oqvImuj6/OL4STtRRoDhYCUrJs52tX//XiYYn0F9dAcniuA
qJOXmuP5sSARCr57+imCFIrSYkTwqJpxknIrdNW+h0k23tx0bfwWDWB3347Ke9mL8UzwgXbhropZ
/tzi8JTymEqh9I8XIhvyTNPM3wlS+m0iTZoNbFGda5MswIn/byyEHk6dLu9ODHK3JGm9jkX9TyOY
R9O7Jml3L8Gab4cQDztvWfMS+U1z8pvxIJyXPneNn22/lInmWURJ4pCvolq/+6kffldCfoLPqY5m
yXCYkSY6atgX3LKjce2lEJib0b8kg89zU4TY65G2jkYhZ0rdWmZUz/nnnzikSvQp7BVZRxgimcwN
BlISpmiyF0oqRtzsoGqTkm7tMK2wfjYhDKzO3D8nZdyoN55rJGu6v5jiJ6b9TYnSXs9p1BF6q36N
o87gXw3t61LvQDyVznPXaLdp32V31Pd5Qt81env6qAAwhtTyba26H7mH12tlFeJ3zxJJqPJ/Z+MJ
w/y/C1UyuPDdhGuyO+W+fE2X/4fMe+PEgnhxQu9v6OXDh0lmn3DT8d8sORvm4a0KvM9Zjpi5Euu/
Z6mIFzf4KUjwGWYY+mSmfXOvx3A4Z7FpHJrlVwy5jMPc0kmJrhtDlCmCcz/Bq2HNzq7hwgm26gwM
5EzrkuinnTC0eOM0S5Ysm1g0y0bcJzk6H0I333ItJ7Y3YIrCiN4yIzI+zDH69DPjLUyK+Sc0gPMo
YcFEA/kEKblBN5l5qBm1vJcuV92ZU8Zr1JrqZkwCJmTzbcY69ddkvN2ryWOHZ6JhaBn8tTxjbVe0
Wpf0qIxjG74bDbEEOAxz02I21jH9WkbK3AbJjqFtmjy61AwOIqWac6IbEBMoOjWOva0h6Dq1mylc
hUAooE9RPpbhgV4PQWTx0E1UsyIgbpwolLT89h7KP31eLT1ZW/yCSHYLxzvvegcD0eHpwih6hzOj
MuKD67beqdSEY4Ure15DdvG82eXqV06lKp/D9JkVLdY/b/ieZos7tBmgXnOkvHUBbMSnnN75S8dy
wSAJEDovWzbdwlmMN2QJvQ/D6GzI9IuaFf3wTNW+zEo8mgwUKHFeqmpMI+CmOUMY/LfZtnWr2dS4
JLW8YzCL+ZW07UsNWOrficIZa/takrhk/1jPWRxu9VQkt44M3i0fZ8YKdsHAa/lWOpBqqlL1Rysr
O3wREyLxoN/d5TkxgYqt4sKNNvhHe+64YXLg0FrfJohda4q/j0nj6/fSEb+mmkyQF7TR3aRJlrBN
DXneWQpiq+bYKKyyZYv1wkSKiJg3i3AEbB2mV9l1uDab7LP0dHxhpC+ZeXTAHdrC+q4Huotl9WEn
9c7O6PFt0ii4JoWkV4fB63vEPLyq0m/Pzf35JZgYcdeQJ1qdXHq/7ekcLcgoy4KRkR1+cKEBAPw8
wHmOS7VZg/OBqgVQmdj7MpD3Xc1UfbSSeqt9SYEXN3YgvKTKfHdYMOmWQ4zHYDW0eyJlYaigOViY
FYyxXTo7yzUbudo93Thx+Wa3RgUZivgbNJsHDV3pKTGylQ7H4JRzciOVkYwIGXH8sKaPJrJdvA9D
vLEDTDleCpFZRtT5EofeBmM2oCWNNAdnc/5q4WG32t45ceOghNgredUDYG/eLBgOtnm0rpoye/iG
5ZPVrLNNyeAPSMdkXPs4p6jGxVYGFsi+opvpF5depnVmMN4N9PzF+Z18Rtj+aDyP3dkL/htLkZGO
AmydYnWJsBx4fyzbEWx7PnE0KpPeMbnRmQg6u5KfbMKK/ImbnJ6Vp66wd26KLG820fkpMI3x0wo8
RSAhAgKmblLc6qHv1ikXUGPs/HvkFfUP8nu8ZdS8lGOxScw04J3Q4tRnav3cHrpicrYy9firRPQT
GFbwLasoXleZMa+9ov3VWjN+D9sz6PVGKiJ5EjZ3ErL/2bmsT5pioXApgWBX0q8BppM6jAEsQhtI
FT8aLdtyTQeW/VoIkiPmyNqyNulY2ww5pWSjOTF8x7i8+3c/zxnbcaluN+5AxWsvhvA02clb/3yD
B84zS8WRpApZNvuyyObL81c4bHgFGy3OlKScPW5sH2PR7uoOYLDfRumO+UlIO58Xga8Wot6NvuPc
8PHsKzvuL5DMvGs4zyhKsX2dwuzTXg7aHMrmI9GjD0dFdwAZXssWQahEuuldLodh39AZx2fxrR80
MI9QpI/nl5baHcc1rdvzO1Jg4N1k+1mbCW0xVpMQ5041F3MGReQ1BLTc5/cqLefX1iaIODR0g4ft
B5tB5DM01CEjYgzy3Jtf8SsZr89f1XVEDEZReN1hSQDBwsUBGpt4GwKOBUMRzudmMcRN+dxu1GB8
lj0sjUJLI1rRNDddvJFom5Qkmvnb2rEqH3GY/NvreY8YMoxkscDHb6pqgFq+3LSeX547sjfFpJnZ
oRhwPo8HdYStaRynB9G14mZPOaai8jbQwvOSdXZ096PIv1n1W6cAbsdjiIluWV0ai2GV3ybFKWfb
Opgx1YC0S5UnO+qK1fMnSAdRAdLGmzBsUjlNg7HOuZXQuLoaJ2N6+ORgrwSIQe8vZjkNsWLOp/St
9TosD3MPL7edg4OlrGjttL65ixsp7n6oxX20kWP9MSRaC73xmPWAczBrrIqSmvtR1guyXLhXegx3
bZ6G28EkF+l2RnZxtLDJoaefjIjaux59cpMeJ1LTV+LN6aimigJWsbmvuJtTzbdM/Z9fiPucUzpY
ttnsJOhJsbdvwXT0oV/fB9ecVwiR7qX/sKyy+m4FEUlNNdA3lO+9ZwHUciEU1Iax+8zha+2GwWsd
GoQoAiYvLanVp5dHLNtshvTKMU/LXRx21vn5xa7K5uDY08nLZ6ix47VsY8it8UJSqiMdcu1ZdKXO
RjKR3/Cy6pMISFd7Vc0ykGnlbhv+GW1S4ur6xnT4J1svSmevff2S/Pd/DWpebQRYH8QvKgm9c2MJ
91x0AVlq2pl7Kz/ExsOWE4xEK2RUNIjz80ub2l9iCCpWS7uYTmVNGH45Az6fPafAVmFPRkq9SMBK
stDbsXcnW6sV7iHt2EMrQ9SPIpD2we8pancyUpipnq6zJafr81dBZdJ2XlLOU4/16rkYPL9YHsIc
c5NyY/n9Vxok9WXo+uHat92PUM/5W81mxfFGP/yM5aX2s9e88XY+LPXTFMs//3yWVIcYS13SeMPv
UmwBHRKi0yXz09YHTWFXiBoNnUyEmNPt2Iek0Nq4f2d2n5zBzRGMUV8EDdzP5Wi17ggBrB0mVRRh
o//YQQpOuYlYwdX46WgzIGhdza++UQyUsRQDlkX+oZygZvUJF7Oo8bnwzlX/ERmWuS6D2T49v8Xy
dI7bBlG5Qokk0TI++CjP6TI3nmGBobLM2capsbrHvdudayANKsmn9z6JRuoSnGrvi8L5TlDjRZvk
fyEJcv5Y1xbW1lWTsepmcfLXG9JvVKL6P8OeUbmWTnoOAe4999GzFum4qhdxZNlW+RaPxPPbrEuo
96hRFR3Ou+Bh/B9hAzeB5hPaFCl3vc9D/yvSntwW3PV2qZ0RoG5ItIWdC5t0+TZwnDfpiupSk/Xe
TB2XYYvz8HufxjxVvTWvNNWNdFgTnywW44ydyjPy7nwVi7hT1a7aZ0yx+rQjiywn9zGC0X8wgP80
plG9PH+rnWOx6fFukognIvr8w8OYqs+5qv/3bRmIGl+2QS8ROVZXCq7BrsafNBs4sWccTIlJdLkI
UW2bgrsZPrHSFgEYsrF4j7T27myu6+d3spizdwTwEKhX51N8noQzbwZq0mus5O8QZwJ2Ch7Qtoq6
0zDb13miJ621vT9p4RH1l38NS/UPL2BgXdRtdC7BD0/ww95qMz201BYV4/R3ypoU9WVR6aQ1eOuQ
Ywfrooahb7IuPBfueGb7USw2ZPPZ2Z9bpqyFeOFQo/4NMvO5Fy9jikdnWa47OX3WeV1tyyEhdZoP
0+foDvtJVOQL4/hdjEV88RZmAtd1OCbeqOmln/rXspkaLvLZUsLIlbVkIHSQNRj4fGLH0GB8P+N4
fM0nIztYA4FnDnQhVRg2f/Awa7880b/UhZq+dW1HeDUJmOzYDZwTDjIIfc2dk7d6LUic1y1R7SqY
NLUjlO0RZODWKnK97TSkiQKx4v9/cRhqrCvrS3TaYANH0uP93c+WSd973g0vY0iN1iikcfd8/qNW
6u6eXuOY4xg7204Oyvoxo09tEs8fqKZrvXd3ACNAG33Do5VQhKgIGM/Vf07SvFN02L7ZWXvzugQb
ZV8ld2r/+gO1lg5ZNencajk+SEcn2zads39vQL68Bm3c0e7CAKdz4r2unf4yk1C+eUnh3nBtJviz
fer3kuLossd+liNP11wf/+2lkvxbFk0lvAKuQqt2isCmOe1vTSkdrrLELNalhThhWMl4jOKPJxPd
WxDpYxIEQJFqGDseseFiYswDPPxz5Jq8aqTKb+IJG430q17m857ML7mGaVVUNJuSWLsnRaX3vlE3
Z1EbXC8Xg1A+9fFmYlEmMI6eqVMvOisLQwtHKOf4HA74mDY2jk0QZVYV6FgaesiAkRoXY/j3otvJ
3QR9U+/oqfJfTPPVH+z0YTT9uuis/p2zt/lIGuq448C+PBfmCfAwDJe8ODgY/MgvmS/Pw2rVKtqG
huCO+Dgw8pHFxV3uWvy8mLyWMEMsHd54FLuNB//1/E+pMNsguw/L6jOyHx1LGj2XiyIJz+bQDOjP
U1qcYzCHrjvVF67u0d0GtHBzhgEqjqFQLUj/P2fyjk9OMar0vSihlPDjbL7yVB7Ljpm37CAYKben
Ma3q7s7Mjg4JlCw/1EPUQPeWU+RadHV2SfvQuTl2uxM9HX2YeT9VFwxnY5wJ9kTKvyuoiJGI4Cgq
8knh8vu9h/DAAAmOOd89fyudiBFnMTN3tq0OS/LI7Xe03IcOX0E7M2l3UazjvAZ6zZaPMzleP437
z/OT9MhfWKnC408hgL2MyweT81Y5Ocb636V9kd+fwxgXoMx1WRbJmocsU/5cbeZiMj98W/yY05KB
jJU1VxEDkVZzU14K/IvbGbM5jRqorV1K1iBC/eY1W1th5+0iokTUbFovY10zA1Y8cQBlqLJk91vz
r/Sboc82Rc6p9GmZT3oq1dMh/Rm1TnOcJgB4mrrJY43etY5yhBdBefDG9eRvMEDpI1IGZT9S3TQm
zdMI8OXSDNglUYF3/GS/VI7XKG3zefMU6HVVvT69j4bZeKsBCjLeRg7DJMimq4n1md2oiE8cewhC
eN2d29F/ScYcBUpksLft6vecWdZrnOS/GgNhxq8sYCFqYr7G3sjs/bvi7LlWERB7lZEoVDnvhyUa
thOJxItyF85QFibjgqodeQgvX2XX91eFYW5d9PGpEBOaufjVe5PYpZn1cAeJspcw39Ees78peUEh
2kVT1NOilSD/WCXZTnPcdz0ecRUvRMIy+cQMmYUupX2uWof4K2fHTEka0BaGgn8LHT5KNHiPVbtq
m61dDv6h4Ha/7kUltrMxy20IjUm67BTREE5v/TQknP+ICgi7UkCTKrmVYClC0FijyHLCDhJFKskH
YB/2Ui6bc0mTX0nFABzX+b3xQLfYme+BrGHmYZvM/8vE/sGRFOMMXZwiac4LzpcC0kdw1IXOtlob
n8wz8DkE9kGShTzGUcb0ppNY0SHFmVzdPYBXDJghUxoGP1rOlOPQM8N14J3aqtwOMj21eYOmqPI/
VsX5as6+NSbiMKV15RbjDW1g1u9kqLG/2vZBjGJ5KOtom1UtqIeg23ZDsKnNarwhN63tWX9j1PrZ
jOonBJ3CAAVChXhLzhLepe5/QwRV4XiPZPc7doZiuWRQLqIkCBGrOMXtq2dG5S7KAftHXaiOel5y
BhEdnFyg/ya0jHh8hjTkHhrsb+gkQNplABXxUw9jRAMaAkksUx9bfiYQWUkZz8b0X2a41TmMfHuD
aI+kDaWja8zx7BmPOfUJhVpkelStMtbZAK41hbbrNgRioWUGEyTuHoHtdxc/4SaIbwiMSMOQZZwK
yVYP4b4V1AgzqxggM8lvi87+4hVZtemYEtAnpALHOysDwJMT4PSoQnTePjQnsAwNIv8wF3sQNggb
0darQzTCnlXGHGzq4PB2OBlcx+YxBkW4cZzk3ku32Y8mqO3gt6IzZINtx+PUXUoqekoEx97fSMb/
vtkUK5pOo6NDIeRSFGoRqeUBatqUEpPG+EopvMMXx+088r9Kr3A36G32OgDfanYcuIZ2+hO2ntiS
urIAt7C5jJRzU4OX6k3q4gH3gbDG0lx8qIF/8pZWs/Dc6BBXyexnx9gfv+W50uDjOMWWbA14KaqQ
EImyoxCrm9zHxfBizJa1z/Ppb5TBV83RG8lQrGNbIG4CsECzdEmDsxl7wqWpjMLhMQfMq5Idj025
ckXf3SLRHYNkcY0X5Pl64mp+Elcr5ojhxkwZHccG7hnUrzcSLfkL/SV7bXQ1RycmMzYho26GWSZD
ZQLWSwEp4YH3RL72suqS2cNm0rCGOfllx1oJlk6sFVZtvE1V9TKE8ijr9tTGLE9Q36sV6fYHfb1w
BUxWBrteiEhSHgy3ezXLsDsBi8GPgohObDUlR99qj/wCdTnBn9KKC7S5kTXILOrtXPMTGzx32oEm
hIEk/oggoQYPAyaIU6NhpXKQGL0eQpyXpVvDoOgs8t84AdarBNoYFfD4MgfMLLbX3CxonKaVrJMM
w4mm4xTT4M/AHJYojbx1BXS/SEV8nAaTFCu/zfgMQ3cV+jGA5XoCk1r8Cetg3rnBQ1VgVt15AVUN
YjMuPBMGJW1Xn7sK/pXng+tJ6mMxOkTTCm7kPbzQ0qGzAMX4Ddo9Drs0/T61WCL72M2PjVfLXcOI
Y9s1/gfOeP9V8JnPGFiGTmQvfOJq71Xpf9XY52AvJebhetxxKguPYUBUNq37eourhAhpundT8DcV
ZeSA6UHzZ85bEpVIVZa6Ls6JDRN9QEKiTde6k84G+4ZDhPwXos9lzqmQ8hMPj2ncxWcg+Cs2hupg
BLjnRcQZVCVU+k28rnP4SBIEO5OuC2k2FwK+9Qrx85U1y9y7fEC2PVsrcx7+2IQuuLO12cYd7b85
Q+lNmi0gYUNdbIGxD1G6AlNo6V1cymLlRaO31fUvqkDK5e6DitcRQy2Zu4IvXmjTU5ivB4pxN1xN
C+YiqsCmO+zNHJWrZBpEpxcp0You25XdM/iP4r5fhRZF6rXbUG4UDXIfBXWM1ocaG6vZ2fiVvuaa
lyByFUtpuaMKamZ64BkFkEH6TbfT0Fq7vEb5jFP6LJW/6SPBPDrbTrLsNxFI2j0OmmBdSMiAhNzq
+D+jxRsQTRzbYxakTT3YzQ7EHWVEUbAr8nnr1qG3itNPU7IbN7a1ZwfsVhM+tTfZ6CWe9+o73qcQ
8Xds1NVrGBRAJnhwOC9vrATyhTdiGkx+mAx+V8wCfzkGJZZtzPHVFdkxiT1xT/uvnsVq05TNV2GB
hSyoDE/IKG4r2f9WAyUDkzOyx3bL2MOa32WMnJGGcisC9SimzuCKN/Qo1nI1tLiFFrDyKGkz9pr2
u+8Tn3EgeIzR65yDi/VyZsquB53LU/iLkeDlJtVabVP3j9NzwOCMHG2SWZ8tgI4bJ2OTZSPJVw7V
evsuNv6KJiDRGVlX3IlqFxv0U1Q0k4omX6n4O3/ts2ubIGNTri4zoiiqXTdzhRtUo/iIpL0Zii6k
0PiHxyuKH8xih8YCYNeMTDhzEPSEIBUzO+WjZYxAaBgUl5MU67pmf5talJB41McCIMZap+kvLFm4
fQ35MkbhF3YeXHu0I6Rh2JzqrH0pehbUFsCyO39BysXy6PkNl/Xfgd988OS/Md2nXw5PCcbSpcRo
MN1bk+uNDdhOFcTzcAiSJp30z4ET1j7gJokuyTaKLQosXIS/Ud68oO8hNIFo0nGhtozinZWaHD5K
mjKuOOSxBNXv1RwjChlqOzriZmXD2cEi/65UW0Jk4ucwBV9YnLYwMzeOqf8kOuGp5hZjNLSuiPCN
WKwPdpfo31h5UKyUfLG83OYknkHLxL+Fn6nz1kmbQ5OH1ATAmOO+CCr0/HLepMWYvRiKIaVOGWI3
PsPKqjoGk/8HvN8Pcxj7LaC5g9GAMbNNPJND0Nk0w5b+Siv9QsQ7mhD5otD70B0buTsVwyYIu0sP
R83Ja+ND9N9tt6TBzzHvmNbhMPPa46neVT6HgqTkDEHa8TtABQrbJFy1HvgeD4nDPZVeeFrYkk+L
DVem5WmaOGvBiFWc3oHLpY+qz/UqF+aCi+PeFxk8kUaDqmrm1dWYjrIF1+SWlE95EesiZ79E1uQl
7JItUwfYTyd6cBmZLi+Cy25eSJdnvA3vbrwkfXN7z5T456IJ5dHwu/ID8NAOPXOUqcZcFLn6pUTu
YVdB4SfqVkcZE66hprM0Drns5Nl2zNPfuYkHs7RovWJkvhsG09sw7wJw5SV316EetbOvjCTkblZI
fjpyEPKL9sSNic6koSf1XflfkWoFYgaLqZhqTkYmf1jV3MHyf8+VVx9t4ze9gUa/qfvc2pqtYmcd
9YbMxEH3/QeFJekeGZyjVz7x0hCqxnIAw7Nu3qbQzneSIIxs2L7dMFErw1kelsA7ecNyos7D9swZ
2HCBsFLRDZM75lrPJzWtC5BvBz+qgJ3q90n15t7yrQOxCGOHxRiuI48DDohDM49L/wzu6qRxdgzb
sqOn92KWf7SY/ENt+XAVe2uT2GBucUNywslgQNdaH0mcdpspZSkoZw/Ui7UtZcgJKT33itJbP+K1
hzLEHnxtsbOjXohdqG3asdRUbrRrw06EnZZmclMIhKjGBHassvwwLkTcSP+hg/xh0qWzy0ubGGwz
HJ2o/gQkgBDmEBXwbUCV4bR3ZgLgkLdPAcC3DVWe4Of8lwyfFRb9Rr9pwWLqUGkFplv/zENlPEZm
aEDbTp7/SxVt+MP0MTFRcgMkVoCgi3S3jopG7N089te2aOAeQAaOfDQ1yfgljiKPIQGdjoO07E1E
rHk1qnFYtcoE62ycPZ1Gp8yR4VoZ2LUEqrjWcCe8eetEnl7J0YoBnkdQ8PDg2ZNCYcai5Bb9fuAj
dmBkbekwT3ZeF1EYDxu2K2W+CmgvWQOtuZU+NpN68E4ydKHoDTB6S2Jo/fgRJy7A0iLpqd1sTgm4
kW1RjV9ha9fgg8NmL8O/HLQSCgb8G5L/Suc9Y5NyGlapLGBlBNatZVHeB0zSEYeNbSX6Ez/uS5L5
w1p00T0YcSDmjbmBtCI2id7OuE9WQTQk0KcAfOb1htwJ2IDO+VMFaBdTgPedkRd8ai4lEw/CNko4
qENpWom4aXe9Tdx3boTHqSPo+VSOWWZ+b3J5IFKgVqmCjqc9+AN9hc9xlbeYUDABws20srV08ZoD
2eaZypqfTkLAiYHoq0tgi9ZPVZ9cC/cG8r0d8D7ioI3r9oNO2WrHRQWHTYrgRxB/2+IyNiYtDy6U
yF5zUe0C+jSIXm7J/Y1fidhoCwWnwciaFww4yqMbQfcaB+vKJzgf+qnGpxB+E5z8jo1TgPWNfvlt
d6xg8WyZGIv1gBd68Wwy8oGlyloMW5O0w0DXBNkBvdBxq/JPTyvZBgWcbuhub1MptG88ewMbh3aP
mbKJjPAMOf4J6ffStvG5Lia9NQ1X3Whxqg1yZq2bcNvUWcySBoAgNpXzolultk5T/S21upeEgVgf
GJ746gfevqUHZf5RsrbwMwOfn9KcQX08m13LnhHHPLLNwxD2DFzQWrEVsga65oT0SaG4L7jvU/my
JZ63c3z30GEPvuh+THYLgmstC4u2uIEl/Yz/MDh4nTERVwlm6uVg9LZjg479ldkWtY0aaZYFQqOa
eFc562GtKzWc47nfpebwFtlB+JLI6bszi2nbGHfLSH5OvnP3VT8jQibZLmpTcNEzPyPpFJSwwmQU
GE0wmeP5qt3fmS2Ge2V437D3OWdj7t/M5lO6BK59DFcMPLF4ND0jdCPaBZzDNrVM2GK7cIVJC4Kk
Sd0K5kzBkuAysJ+uY2cUV6FMFNGpPnVW6q8x6SRbysbQyNKPBrPvlpNvss9Hbm01tpBd43IQdM3k
AITtmo/JQCiX268P0HAYn3gBKfaWzUfZ5YxBoa1Trdfe8MRh+CqAyAp7Iev2/jakuoOZ9vizUeVb
yJ8c1C9Opx4rdCOEWCWfuSymbXwo120rbeYC+t2ELnAlV3xgWimx9yXfZIUFQ7ja2SnLBLyCZ7R2
nW1XObsaRs9U1eMa39WjRI3e1sOvGUsstbYkNAulzm3dHYaum1/tlDc6FJyF3ebB+If0G7Rqgel4
1TdghgnPfpNN5W19Y9RAjcnUgZvZmFbBxuI7y7kW1wOxUMCVi1e8cM40GKVV5r9YDY1pUbOjNvDY
4uiHyBzWW7SA65yY1qYS8cnrbJxWqt2YXhWfpCsxeM3TakjrH1XXfncBz065zdtRpN0uaJtXPy6h
okfTkTW12rey+4z6hBZMI/vFIDc+oTE7KyfGZtkPLrY5mpVn0cm3zvdO2GxhjIVmspp90A8/Oiqa
Tp3b/xZ5+rfLYW7KsOPCMHarKCe3Ltt3qLpim2N43kKK/psP9gOZV224zY3cpXw83ukvry+6XVHH
er3PXfSkGfM/5M6W21kyr+sBJWN20/4kuuxbmaIIlXlJ5XCGzp821CrKueMVwFZlynxfeVKf/Xo6
TBadKBycxEGr8JYCde0W2crz+3Fnwz8m26HFmjAIUkKKc8GlCTIRTraxORO6bjdfzKI7OIFwVl2I
Fh71SE1cQBn3mDTFNJVfUrVM90afIvTUVbdv+rk82tr+xFbXof/QQ2Y5v2UvjYMj3yY/Y1qUjt+x
9/2p3IR/R+BZctFJpCZw7tkPQEmXysfwX8+FtZ70jP1zCqfr1BDbuTotH2yHk4XqMj4jIW1Uaocg
uTP8Guf2qpms0f1GGkEbHP8UplriZhCaiNWvvHw6aIa7q8bS9wh7BMfnYCPSvKIr4VqRBzibvvqy
m/zFp0YUE6916XrxH0DxDNdD9up1dYiouVIJapyK8mgFnga5jkkcdIaflODVLS5E7pR9w/02aRG+
fC4dSVYr1KBoh/Sm9/HMRFNI9SJoEhz690pJIqSDUR36iPmaKECasyX88Jo0uYgCw4fV5RwoeD9h
CZBV3FZB6rBwYCDrGuPv5Njf+4TKZO7fpLxIKAYVA16LOMLK4f+OvebCHTLCSMwzwmP9M4maQ5zz
5hc4zctjaiPu1bXRndJqEWZXzIXQhgKdv5jW9NWZlXnqAvWFGAMRuEYtVtbU3BN1xVL3TYSmcyib
9KftLG1F3firF6pYo//yFrTd904Z3kuQ7h1ewxR+zFaNXYB6PJ/DVtv4TpIPlEZ6C3LQKJGEddAg
z+8B3v2XTPVtZgxbW2N2jkzcCF3mV3yOxtk36/7DyJuDWbnRejB6tfVcyetC/o5F8oHPylgbXfw1
mIMLQD4Gkc/+ulYgNJjumQjaSkNtNO+Z6KNdm1GYGk75Twllw4YK0U/cXHqHyM/SuJr6PIu1sm5p
p/JtW6uOFuT2YujktTPK3y6mfO5xnCIDgUewmP4MkUmwEMh6PDHS+kh8nb7WK8UwJrbhl0eCWGs1
psM6IxK76US/ayj+dZq+PxYO3jEClm+5D1rYGJwPyJ0TyJKBxiiOyhm3XC46iCTd8NEY7Q9I9hlY
aCDP04QEOOTFW0wLGY2V40VZp6qFszMLgiD0O3PLcf60Mxg08qZ32mQPc+PIzdiEICMcm2qfpQip
DzmdYrbwSBQW3bZRCuqKKT96R57hL/cHYUsOfADGWeMWtTvr5S2A6574OJI00/Fz1Iir9juTn1rX
c59vaD6I6iXOT/9GAD5wPZfRV5JG/RoYFfG4yJCncfYeQ0krVEEbEbQxQjSpNT/sUv4/3s6kuXEl
y9J/pSzXhTQADsewyA0HcJaoMSRtYKEIBeYZcAy/vj5QL7uy0rqte9UbvicpREkg6H793nO+c21y
4uZNK3lI3eGpw7qwJqNrUn31hO/UL6f+HSdDeUZT+mrjoBqN4DIWwSVvxqeQgMmVXQdPjDc4+Jk/
SatEmQhPWKifdRvRnwqM4ty/KUPnMI+LNItiTgNdqG9bdxpXTtym51LVaDkVKR8gYNheOe2yXk9f
dWBsdDMR5x51thybD8Ob6J23/MM8AeSmjOB30cTtaUi4Ut4MjSVtmBrEepGdjSxIvx+4xKuOkc+W
5JR51+fhr9JNlpov+i3woO+smCivnjh0zXIdpA7UyAURaCjWOc4xyhxks5+rllc+zXep4MyPFBAo
7Gcj0O41kk0eDL0T6Ffb1AvyuMyPpP8aaQKQ2aUbl7af2EwdcjiQGH+OQv2Jcw48YkJ0WvyeyOBY
GQONz8yy3xKy28LUqFeD4PigMvFRRMKFTxccjJoxkyxCuor0YauJKjBNdqXWGjt8iibvJrh5SDa2
8WBFexOxBY6lZIuslTDy2X5ulIkKmrzwVVjo5IfQAg5V4ot+JE5DDIRNZZRSMyZcHVXAah5oIfIm
HSz2OfQ02gZLvOlyLkaU7e5T5ELV3FnbthFfHdMGzxCfI0fL1ay3Wwr4DFK/s2FcASXbmMODqnRa
XYiBOHIJgn3tgS79yIbRCELIRokIvXgVIny1NBa1pP4BHxT7k6nw06v8JdBmNnxNcNojdHVTugaH
+6o/Onry1UVBdszL4icnu1d3duIDklmgB6p9bD233jU0smMdproYXfqTFo0h9XOyFLYJVnSZjS/D
hEbJ/Ipk95trbhDjQTs8icP6o0LLbI5BwGGrbTY45Ui1T+RDZhUbLZr9uAcWQi4pIyWonS1pfPyi
H9JheCGk98NjuWri5biNRMvU/iQjGpyuOuLc6VkHlpGC3RJezXDRrWgyS5NzcV9PWzVy4+kcwnS6
gZHsLd+xqZFYKjMoX2ltXYSkLLCyJcyA5pDPGfcjmDo4cd1HXITjFnUgLRAJdCwYOV9T3gHWCxPX
Z/7LTgMECNLHFr5puWllydahAoaJmnVOk4FLW5vxJm6jjeXSJFHkT6+8yHqaPZUdXWP80bsw5MO0
PNJPI0YiJzG2VnTPHdtvg4kIGoZbJ1o9G4VYa2sYBko5oPn6UF0gcTEd6zdzhJrayVCQ1e3crJXB
WiOj7CVWdE7AJR0RW6xsPWP2NhYggiSGLIIvZg7xa5161xx7TqsJjAZPuWgGZths2DIOWsNd35Zs
SFpMk4BwKRphDHLXzlDeGYJWATXRuO7M6JLi89kK9WkS2bko6HIcT+SYhCVNeLuaOAkZ0WNtmzsm
u4FPPBBpbJSMsZ4bnOrbnVXmcp2aKZN/+aOKBmB66LyFQNiMZfLA3APfxLw4Ue2norFKwpeyA1wr
qH9ryH7k7obyq0cT7w3vAacLT3fyg5HbT2ZUekgxSH3rKD7aJd+IYUH1WXPEn+K3Tm9I3HOJX9Q6
bsSQ5URXFKfKRc6hDdMazOU2jwisGKEkEICJvj/AUh9I+vOOS13al3TWh9kAKjGUE4cvik8gIfw4
VgMmaWqVMpdbgzWiLdBFPKPLia2dxAOdEZR2NvFDZf8jRz5ZyiB9bMpsP8iu32oNSP6pcg8jDQAO
8h6lGjAsljTSV4ixmLkrk8B8D6XIj97SG1zaKHYz4ewY6hJxlyuYkGK/qkydhl55AYqDJQIe7MYl
GYvDbr1x4IBtuO4Ht9CIbKoUaStkI6lWmmsm4au+gRzacZRakwRvMCekQ5hmxIyGbEglz+Q4XAMM
JJL1Tj5qeH29hj3WHe8KO0QapNMo71C2xMmMk7Qbf+VBNu69vK/IpGOa31o/EF6g2XT69ELzBtKG
KHmT5XVJmCInuI4++WA3xcaTxa8EB7peuzoUA5L/LDStfcyL7y5TIxQCxQUd+aYWU82/Tgu6dnj5
OUgvMaTyoffiH8OiT7bch9nUSkxwO9RRD15oBQ92JphkZ/PFTt1zO2rrUpflyZbaAgSr/2Qe4Y64
k3lDOXN+yiHa5GFBS9jTfoaATnc1cKWVhy0YVyStZxXPJxkGjzq5o/SP+IOmWqP+d2K6QcGCSjQo
ICpCUhqSl5TuHJlrliuU46vZS3uCDSG4RfTQmtBFzDwX1srJP0d4AdsA2jsHIb2Frhuvci2gr4nl
JEfqviOCvpfUyfAmCAzJ4dV0ynTPfVAxu3C4i2TzjADnZNihvZlnMGEAD519CSKM+8Y9Tj0hpHM4
rbykfKhqwsaI5GZ368wP28RCnjy6vab5lDjSZ5VbNQoCbi/0zThWs79I4NzJfWE/Lg/YpCAw1IIx
ndecZlYE0VEEG6EcDzGZqmqavjjKZavZ5q7ldKJp7Xj2iumEjdfe1mraWg1nEKVku83ZgztcUcdJ
GXdeW9V+qopnUdsXIdz5rhmgOIXekBLv2R7yJAKJrk35msJkSZeoj2EnHvuIRBsGQamPMoBoFedU
W9G0QmG4tQthHfEu8lYY02DrDuPeUsOn3ucIMauyRMNk39NypN6kZ7DJR2OzZZ49n2cGbXOaC58y
GO0ERJXOTsR+fskK/WPAEfQULBaRMf2MvCy/B3x216S/xmy40qpQ58qmhQTkHpPUuCSk0NRBfLNE
bcHGko5Fzzx6S8DeMDF8H0BiIrFtJ+YoFf0N0/7DQE3S8IjuLTkGO7sTIbQa40VLvEua5BdDBBUK
Tl3boGt+CDH+xEncnKycXmmmG69q0NfuBGql6NRXH7e5jzREY5Pgj2rf4c6gSBHoqVXzUaRMelrW
6NnmFo4zDuke+OaQ99K+XlSN9iwQLNCs7ttya9bTc0vgMmcJ6pK04BwQVNk6wsRg5hI1jmppJWLg
CkNZwhqcn8luAc4LUhH+bNTp4G4rOpIulh0rpD2DYs8fMMKzA8Ucn0McBNmXVXjOGiXXh1aWBEjO
hi/BWHEgDp9xzqIszzKLHR+3uK62uLwaIPmDtKUfIk91IwYNhtPqOxljGAjcI4M3P1vE+xODji4a
HoxSwx+oC4QjoeccRfnYgIhxul3qIEJDe/HhpSSYuHNt4V3UN4VCma4LY1ECJ+eEisq1hS/GP1lK
/9fsn/SwYSDM7TzWDYcqXYQPKaFn4Xyfacm0oxV31hG+rAxPqzYxglg/bx8rt5jo/sXxygjsI1bm
wMc0QbCQUexLQ/p4Uuy9Rf4hAxprI3KdBoCYtnLZu+0+V2dX57Q/2tq2TMBzO/D50RMO0GSmXMu3
JiGJm2h0SE6m50XjY5jVJ4zDxSDblVtvwtdCwbnDBTeE8Oin+BhnHZgaJsiumjPfOULkaU+11F8N
2oyQLUMkPlSDCu/YGSfbq2dTGbGE+J6Hn78x6Dc3qnwYO3UZGhM5O+VDRRMKCXB0yYPI24Sc2uE3
0MYY77sCYKq2mEho6Ncra3S0vaaMDzWvjfhpoPke8s10vunpl7kBbJbDSkuVlY2augvpOR5HvXoU
Yb5TOElZ8BrvNJbd1TAI06pF1WGldt4pp2vUJ+c6xbNhZyl8BBDFlxpp66qZ1J1W9fIYWhbObLu7
VHjffCe5mtrVkBG0R50+m2jdvaB2Ws0V6Xtj6OpY3IABy7GaeA7X82+ci1InItBsovCKyZcMoLJE
5edBoFiMfZCCeDlQxSFNgq8zcsOJcQbVG4EiKyWBXDccV5Eq9q6M2ScdPK/Gsw8F2T45mtBoxGgc
gBD3itqx964gv6yQjtpxeEJl6SDlzBn203R5vulCjYKlC5KQtQN/ji4l8k4RSvp1iEKcAT4tvds/
ozpMT6iA3dXN3730rhbecpcM3IZzm7xx9ltjVwxekCcBoAXv2mKeoilYiReuIpVZnGwxVSWsz174
XDbuUrmozxHEkKW5O50694F9q31Ag23SZIvYL3ODKO/lQgg50HKdkQIifYUTiWA9RdZs9+Mljd3t
jEDq0KB4fWkLbHZzZa1GCbWiDLBZhhF0gwgp7wsAFc4Ds/6oVPHo9SDNTE2tbz/ZkCUui6ZV56BM
XHaOFFumiopn5f1EzUzhOZbt7kYdoG6ONwBP5DbiWwz8P1TNjGdqT/xoyhCIjDKxXCeknNxeMTsu
xyNE/qsch+l8k6TCKrHWN5TcgASCEA8R+ngdST03Ohrf6HzvgUlY99jZG6Jx6fSvMEejdDTQUyqT
pE2zlr++8Wu51VnPNiXz0sql0qGax1mMuYxmKYlUi4/foalBBod/8/jeHoqZJk/UiZ3RN9eZWcrT
6O3akaHzkBRkYbr5QSeE5LFkCLwmqIIZpoYt2C6cy+37+wyJgCecVzniWQzRIQkt2znUOIoW+/ZG
jnEmmEZDuYRhAiy6/bVKzgFMk5IfY46YDyeVvGDmhBQWpYhMb/xeXWHEBMWBH5eNmpo0k5uE9tee
euqrKKkhYHqwlZVq2oUauRahK5PzoLLnoa0GTKxei8MOI07qYPLjzSPYwFpMc039zBr5brW6fpAj
IipkIN5zWxyaxWZH5Nrmlo2SE+2yTfswoEACxU6TplpVuTMhnk4vhk7ok4X54WQtMXD5NAbruGN9
HNDDaaqUv8dM4HSjv9uDspoINPczjMIbwyi+FgLIqVp8jRhw4EbMpGVhOBwvgMV3UVvFd6gUUZ9G
8PjtOUsfB8v1p8SAczQ7T8bNRNnm9X3BR22DKrcMCog+5rx2dNl89gE9YtQK0UNhLPlwAS9dYjNu
GeNufhsTKr58uBaRql4m6FRcpDG8pMUbbWHCdRdgfmYWATLY/joOzrsuLE4w/Vjl6/6bIdIa+bkK
puma1JTZzRxiusmnE3b39qGxKBZv9CQjsnukeiXKWuK2fKtAbMXSY5/y+bfG57cTbkkMutxdSDie
HEgAmyjyylezLDdBoMqraaYlXPmcDalTDmSZZLG441NFY8cY26rcvaaFSGaXSbcpO4FjdJiusPgZ
Z+Crv+FhYoWcyo6Si5ElyiDZfiGysPvGJ+RqzdlkskBkb65tmk7/SbcpP06RGAlfqV5ugHVnikE+
ZsK6a4J6Zu9yrposWAeEkZ2mlqiygubNNEXIH9uEnPpmMGiZKp1u+HvTj5wfkx4uDSygAWXiKgY7
RowZIGZ8cMfUIdah9LzMtwyA0KFFcrEVeslRFpTEHQvwVTAvXjzQt4uKNGFbVcnMH+gg+cTXcLMl
NhGMA0G/eV3yBty706D2KHFzjsmLUtDKp3NLrypaYF0hpCxDOPfDYtYFTR75gcDtPDiaudWziIP2
8pIEUYthPaUrz7/DG8Lg9k7TIs8vFjwmVhCDrPVLgVPc75uASfI0HEuLQM8bq5fCzlsVw1A8aknj
+EWLLu+/vzvU9U9wB8590zP24PCc7TMR/URqfkixvcdj2ewsupDbsTTAwQMDv+MTfurVpxuuuq7L
7rGIadjkxSHW5WsZdf4Nz9VYKOxvRLqRZMGdRcwn60b0NBZmQ0invrotiBgqQV8UhOW1GdKBiuMP
sRQckkuXnhUGz2EMv1FqZb6tc6Wfb5ttGVu/ZB8pSB7JcO6Wh17HAwWN29gn7T2jkTOb9LK+//Mh
d98ds9Tvq6F8HOglUC/xJcsOflUDSKHbR7NICor3off7PSeC6U0EboPbukOOUHETyMkSj1rRbuuu
UR9FR42LmFBcwjKPz2gY+IKioSERrVH3vHYGEgR3nN6kebJV5B0Kpyc8MsyTt6x3GNXaGieLxjZo
SiwRLZn6pQJXvMdOfVb621gH8RdEG3QcBi3qb2pQW0p4asFXqEeYLWwcAKTbvGoaDHGkKO/0eJVD
WikHq9A3UlQAFlLDG0OmQyCwMuisC7vuF7yj+SIn4zXNc3Fp4tfbQhsEXgZJrX1zmkRfQl29+7EK
+CWK8ApNUT6aYCyG1NpC2GXTH+rigqjsASY9adci5I9b6J2aEXwMWECOOB6DfQHSjyRAqb+rcLiO
i8ktSabqMGlO9FJM3uMEhP1uqo34pY8NumxOAtB9+aJY/HCSHb0ba0r1mYW7k1pyclGbX8oxrei9
4eqfW+DNmgI3WgUGilqH2JQua8bdkAzpQ1uxGLcWHd2Jne6QTPLxm42WDBAAyHLGtJTtkIhA4w5o
EcS1uo8brPKagd5gyd2YC/30veHXrvJQtjOswuindfwqoyD0EX/794uDX6rkUMxrvU6BTGSFg2sb
NGRb9C8JTUdUbqN2GiMcK2h/23NowZKM08ttPdHCYoRG51g4VkAQalQhq5w3yv4GaJ8nbz7Qp+Dg
0DNidNI6/gRn8OCwYp1rTIMrvWvcg66n9XYYHOgo2M63YdmMlzr7c6twcvY1jq9wn8yhc/w0M9LT
9/5eps50Ld3qVVnSo3/LahRZGAMRfNRbkRiPFek7d66ZWI8Js9fZrogi0a2JsjQ0adb0B9trmNZ0
IsDLMDn0HqfgwE1JorQXZOsYg8mG4fFRR1F13wUlc/EFeM4syX34/hUQFWrofVRFzmRY/ZgQBy5i
O7AubVUdtWTJVEHlerQj6zXQgmxnxMwd0QbAxIMrVKG033ttk+zZYmk8ATPiWi7fRNTKleSYgiN6
+WBrGNHyNEBYwvKPjxgtVZP/sqARdG1fPoeNfkECSGBvY/MRBfxawxn/XAycrbTEwuZWtefELmpS
eD3ODLwdWEumNzzecNiWv8nBVdUrjcMadnefboFxrkp7M5h6c75xY3pZ/YX0+UaSCTPRV9YQ5uts
QMXMhJ/xjazp7FVE00TWr5aRAG+r7Q3ymzIREp2wHlRYgS3I5QGZz12SRdX6hpExVGJdQxWhekXp
h9b9D0AR3h38zyCjHa5pMBWNvL/9KsRtWtVO4VtjWQ20bdRjzKWdhPqs1af3PmJ2m7ftPS4c+eQN
L5AOdnOWRD/DrCQv2CJx3optz0915inwa3Y3TGqv4tzvU3Et+2r6cJbYAWOJVcWADQw1Wezyfx1Z
sM8sCbMlc3NndA43gPFt1ZcRtXIdOgcDJRJeyhgUTw3zGFwggMeWcvJ2bquUaa4RSyAcX05qiKnC
bZvF5W4JjsD8EP/RQfqV6P/9MaekReMn9riQUbYv4H0VDNYhGRR+KMdGflh341bZDKPVjTtgJNlh
SKEoojmLt63lJZxLKJHtxWsMaYCBRj1+tjqiliIlC7XviMIpAign3/+r4Qyh/9JsjLKWr8IlFMZL
YrlH4SBflRsxdzWLj6J10nMBworVqC9XfWGLjbEgMCWGpVMQ179GC+/TjTY5NehY9KmD/1u6ztPU
dt6maf6Qy5jCDsx4qEzGhCBq17QeB4Y4Ci0tRj/fza3koAXBs4Q4dN+w9tRLWgxyVP6pou9SDrr3
nULF9aFERwwSY1pPHGn5ExUici0qnSFASXQ7ElSuox+IHNHmDonpMBqPZPbSSU3rz6qeNMbwcDkk
OM1Vw5ZzWytvqyarZ1X0JiPhExi1cs1BkPS3gULQLWkc3H6rzIhOiHrDTVcBypYOrKRBE97ZDs29
boR/FG1jP5tyhqu3ZJ/hjBAl33vIeXaTZ59jcsaf8+5MRV+9dVZO/dPY8TNAEOd73bG4AZbv7Bar
RzyHLRnhhBfztnX8xm2LY6UVvJ1s8WSBQ6k7crGcqPmFK/Ns6MzKY4zc90Pg/sF0ZtKIs/8UkAqv
ra1+zLHV+1AYaQ0EVvBcEvOpIns3I2RZo4zu78tO249g9ACAMwlldoTTM4vhXhNrnecR4ejACla3
Al7riCO5LSqh7rJbyG7DW3e+C82ZQSIr2eBwd6to2hU1RdVkY3qWER3forAPCoHM2fLGj5DAu5Mj
Z/fEGplCgGHmlbHGPlWsZ0E+D8+tySHVzaxXlq3kd5z1D1aeu2hDwiOTNfLf6ervp8po7lxu21Xa
MDoby97Z3Hb7ZchNm206337nqXsi8r66Gk1Nb9qgLrilnAjY98Tr6ofbZiYX+3Rj6byNSS0ziWlZ
Mkhun53q8J20GAXe0Ru4II67jcPmsTQGk1fZ9Y4yGx6szNzXS6xVXZkP7aBhArDVMTYXJMJ8BlnS
b1Gf5s9TMM2AIqigMo5/cjG8QzgSTBYVABCIi48GdNYjbxh0UTOx2Z4gd0Xqqnn47y+kWSD3JKrR
lqyja7C0FKYs+INcTPoYrn/RXhV+M5QyI9cEJqXEqbt2ctc9cqT8qZDbMBpn7dJESlRVFaD2W6qK
qHCPdgx2YTCcB1EkT/jhiGwvQ3cxi7GctHa0Kch4ZgfC2I+HmOB7PTtEY0umXJ8Fl95DXlS7aXXt
QkayJptGtx6rVmxwf76hrQQxjWV7LUX9Z0aAcMjQBrJvEfNO9bi5xaHknsb0l6yqw5xgjWR/DHeS
eIBLVSjKHKYZWBIgpVdBhFxu9PVynPZaTcTbwmq7j5r8/htJLC3P76OUkDVAsMsBOm1oDcL5Qcm0
RK1C24kWtwIHa1BXTFUSMpTq+sVOp4QmHB0RzUiOXBhoFD1e1tunpqB/kdBp1jI3yOdyOCG3XvxR
q2KX5dmPnhHnndbKj9SmL1glrPuF8YQ2cHiRCkBc2S9E0dtCQsv6Lu/oCuultJ/TRL/EEVz/rpBQ
wPMhP/wnJawZDiMSTNt4coPHaGTmdGfLz9mlWbNOkdzVuMh2Zt2w+VzT4M5zXwztxTFfG/HaWs8o
VFaNaa8cnPcWOdgeNY8ptA3rLSky62Nh7AkJFiBWul1X7N1u07c1nvWPqX1o+4el0fufuhkVDq0m
SWVh3ZcSl7uWHQ1CJejzhq9jKOl7zJuaimvExxiTsIF4u/4DZSie4wPCmj3N7g/dWwSzDRkA7QRs
s3ZXkaDNMRCyVIv2laxJ5qAR5kHE6de2s57QbW5xZ7HzJObTMHqflWlvixKu0FxW2joN5bWturMJ
SIQePr+FlewzvKJhqUDjOTJfMbn8hULphWxCXt0lD8kt5EE4yQLasdDrpsNj1HcrT2fLT4LmiUMl
7COmxrijO698bnFcgCNL8Y90NF2mrYZVG7nzEKS42iNyiiClGi6TzVowwZrJRbByYxsaiNpRbmpC
J2XM5eUjRXRfNP+XLFVzCZ/413gSU5fC0A2Go5ZhG8a/x9YWTV153ZjUdLXLzUC7625aHlL3Sh46
F8WaKoZXPDhGxYPt/PXh7XNhR/Kl7iGDadDBX+jeHkVYAznQioxEB6FjPZJSPHw/VFS35cCx529L
ovb/t+jx5Qf9KqupielCtv/rBy9Z3v/jg20Bb3V66L+a6fGr7bPuX1O//1+/+B9ft2d5nqqvf/zt
V9kXBKY9foVxWZAKfvvS4fc//mYKEjv+z6niz33zK/qfseK37/iOFbesv7sGa49jOUAxhWHyXMNX
2/G08u+2IxwCa8kHJyPFhuRbkOMX/eNvlvl3Q+el4C6wJNFcLhkubdkvXxKS55OOdBjFWPA2SFv+
519+/b6TuGhcw/Cr/Ovj/2D5vhKU0rX/+NvthvrXG460ESLKLSLPLYnySPxbGgqsN8qyBccBUbHf
wTxdOVPnHDNSdEFHxnrHXpJWP1upiMnJvMrZdMpiJquYT1hoHv050dUTh/Lq3jQJvnBfmNPdwgti
EuWOrqwwiDTGaB51lkOGaumnOVqWn+d9f/S64VRr0e9vUpbRAhtGbJCs1Qiolx7wom+LjBX2yZWT
deMVIfp0iSjC16hHAKwpb9xFHQSy5YsBy1yWz822Kus/mO3KZVFDR90Bpi3jBGWgyYzek+5WkdDk
LWcwj/hsX0sCgRVB/yyG9PIv98H/5uqauvXvYTzWkkDtejrvZgum979nM6VYCjsARkBRCoXMb5TB
6sbpbUwk4sKtwOI0lP1aP3zGMszubjMWvGyfnQG+jZCLJ7MzjE0zxNG1omZkY4CrijARyPYtzq9N
s5xQxfPtG3FlWs91uLz1xctovqK07U5wGott5cXiB4DHKyCP+qGCTLEaR3SbXCwyCpRtEr3Fh7lX
tAfEKa3ljg/zXITbDEo2/6fzMgQErGRpfLTBjEPZeqW5MDARxkrDrDZ+onzLDyFNRFFKzlV+b+eY
KIrqB9TO9EKM54A7My82rWmUh4Umt/c6OWxMLEqv4Jdjn2mH8IGS2C904cY0jc6RzPxeCIcNsnXv
IglkEtG0jeKG5CZfBxLihk3y1iW5wFKyPG3nxW9x7R5NOu+RBG0LyoN+RMmLuyvrpsx9KNATaivU
DtVA4oWYYNIIMz7ePiyDkR7lMD6IyHJW+O2Ig6wYntZyTtbeAp4FRelLF7FllrfRHl56emAAXu4W
D+DyxyIKMO8SG56u253C3ol4Xak2ZNviQ1JLHjSebm+NBGk7AFZ5T6ym3rO8odBlEonppd9/H9jp
aqWZbypdXAbLH+TUntA8+rljcNHssdi3sxzurEYGV72O1lVvWRe8se8VerSzMHKxNWZp7sxulq2v
O56xjs0Y76rj6MfbSzlbOHYdBtReiTMX3clLotcHp6aBHTsdxveF8QJ+5sl0HXNnB4Qy3h5mHXR+
bpNEaTjjHSr59HADv3pRKM80NWVdWXd53tExbbONqJByDB3oJ1IjtQvC44BjUQ2KpW/Dn6M2nRd1
5oE63Ll0WiR3SIUw6o40gSyGIMwj6vvbR1qmosNI4vcqigAMWEFXbxioqhWorBTtDE0R8EH92qnz
6NJk4i7UvPfZLZu7Wwt47B2oJvABkNwYf7HRx18iMtv7Ei9wU4nq0gKtSWgpXnqj5aCXe/maCFhs
3OD6EQ9xLgsj+VvpjTiVdvZjHnL9Ivp+bwZJda4t9UT8ivdEeNxBZc1vxtgE8xmNvc6aWd5PsENd
N/2JYJOBgssvMdqT+ggd90lim1KyrElJpc9t4hU8kLmDBfjLmds3uUDULE4168R17LNS3otCWfOa
tESUyhLR84I72jFcfRoWZrXZVC9GNTwGDQ5UhjsXd3kIZ8HoCtqhs/S7Kw+FA4q+9NCSinQQLlae
piqdq720q0dpaz55xZD2LIaSCJ/I+Sidi6mZpNbQl0M3MgZ3VdLg1yGIafkgZuSWmbq6NDZ4Snwc
JgODCtn78oRJk6abJFzOvSwg6wzAwEEvjPC5klxoQN2E3pZ6Tz97hN0QeldF5xrs1Aj2vDHcKxuN
d+1KkCJTNc6QPv75uTBT3p6DJQK95Z+IgiPmCFzihJobnC72yp23JAlpqq4PAdmz6xvyFQULTfk0
9W9fzJjl7Mp2KWahPfFqp9nHHI1//d/350Y8tDNUHaJBC58AiPZPJ+JLljrOuwaUBwIT+LDvFdlr
aThoaE6Q8Jr9ew52ZrDdYec1JiGvS7tDprlxSGKiwzXSklfJ2FSPaSrLdcPpcNfJ0FyT4AEnl+Vy
Hdrujwgy4VZzQh137XKmHAl42tiBpxHYxQPUNejfwGjHmKTNXoP53mqPXejeTU62HTzrhYC1AplR
/aLaE2JA6HnV/Ib/4wFKNsoLb23TBq6N7jhl0akVJmT/aRfVr7VRPBqKGBicKrPDp1qaDNA6JvQc
KJ32OL9XsUsCqUkvRqPIzD46xelLz36UHq7iwnN9JlUYKJt9PyIEIdkZne8WLt5RM0s6zz/NpPE7
sl6XpzLp2xT4q43B2SqdHhwRR4mgyEermuL15+CymfoaGbBxIDh6Z0MEQp3GjoU+KWOFL6fjwDag
c9Rq4hxwb0urjQY3+OSyKJiTaN5DE8Pol8hq8R4N8p7l1BeNs+t13ht9cNCldaHOecxCy8fIfYlU
ua8sfwaFnI81NHPahWq6UOghlGGOFJIPQKcZyyUdTubvzraJol1XhvtgYZO6LerYYpuG6bqPBoj1
qCy4iMuFmB3tSrzouu8BjtAs7h17G0M9QMxeOluze+89/rzxTTImsONXpnTE6micwJk8xzmd0HIX
GdUm1QioInCYMfclY+ibpWT91DjScKcaw9nC6C5GY9sl1o7gk0Xms1lCYToxngTgjYoEYAZ+h2oS
fq8RKO9ZF0IDwX0g5BjbrV6nr3aIYzHD1jkjpNPH86LgHQKwNSCBG2UBUhnOQa+zb4wngsRfm9K9
UzDytTljlQEb2io/hHGeTMsYtVy6rCvnasZIeMZoC+p5NtXKBtuJDvTQB78ztPqK24VMpbNXBuus
wvwJ180S+UMsmi0CWNY8qCO5j8li3WoAkwi4Lk3TNwxw2WSN09Z90MN2i00CoT+SecSmHxE/Tefe
wkfFvmGhYWLcZiob1ma2BR65zt2D7OK71uOeLOaN0HhyaoDQ8TajDoYwgroQqnvTLbYZ0T+QB1Y0
qx7r5hARpJ7xh/1caIlJ5l5QUhCQNYFTqj5zTpOrKAffwM/0Olr3wtmniFVHaHCisnYBqapD+KfL
2o/YDQ5TG9HObzbs59tgAwturzvaLyyaG5fRj2s2EJ2bo15VO01q25i/KjLBjmjaNQ7laxISAcGz
xM/NTOZq0G9l9WiEVDzcOZmzrHrhQ09IfO/Ju6EZyacuYK1gJdSmXZ9qa08p+jY4tkLtSVW/a+RN
kWr8uiZvHKRS08a75X6O2+lSdN1rq9Nljecr3ocjv/mmztbUuNuwy48xflJ0rrSf2p2iS7l83muY
3Lgl4yTzkNvdui/1S4QrPAHmKHlD9xWEE3A2wp4AcjJGGrvj8t9Wd89EufHiLQeVS164B2FFl6AZ
j4GM6CPggrPqdcNLubzGrbzT0Z5iNtxm7nQkGnp5kYM4IwqmYgNs1yah3iLr9qkt7muMrcsvN5gW
yIaRcC0iNKr8dVkLyXW+KzlYtG8RtnpBpeq66COc/CHFftib+vuEvMyExlbyOkx3g0NdamwntJyT
8WtZz7ITu9uDNdjbZvZgZuZw3BNWsZ50HW2lpfKZom3dWaihpxS2B2Aae/ZHUfmDSbOVbKIy9d6E
RC8KyOC/CHuv5ca1Zdv2hw4i4M0rHEnQU5RE6YVBOTjCe3z9aaj7ctc6EXvHrFlRVkWCwBg5Mntv
Ha9EM95qphDVnO6XT6EVtLMU8hV16GsVYgpp2ltWTHplfuvx0Cz/awN/rVBPQoT/ZCyFbzZaOlnj
RxPeD6QEO81Tf71DvMgkkRYSXau4O7JIkHaG0ztqeZh5cMImGE3Fx2Dny0Z/xHi/CfMHwzSuv34Z
cZm5uXI/YOFDTkLzMBGuRbpCSIPQb5crw6pg1wNps3minKinMCg1rlQ37ZNxuJSG6YYjmeuF7IGM
ZytX5zf6pJuU3CRFHtbyrKzDXPvQen2fya0jA1ppgIhkzJwpa7Cu5+J7kgoh7oz4EzMT+QwiqgrS
toZperWU1yZNz0hNtk/ryVGXizkg6zQAbwAaxwKuyAczRlvaknhQYCWq77k7pt0uDsePlvtXF8tb
jnE1VomjKglRb8yXpot3A+jPPPxUmvM9tN5btKemGR0Z4O3rSt8+pSKI9IomO6MWuYtZCsKPTMhf
AYHgEGnAudf9ShNK/rb6QF98I759n3YwVPRUVKFsMLpTr4IcsSL2a1xZawZOkwbFSZ8whM2mgZby
6eWTukJOtTCTDMOV6cB2hnwmRNWtIjGzqZB+qfV39+fwgzTzU+tir5/gemiUdY3MU4jvhs60InKV
FUHn8qfnX7li8ivqX/piUkRX/M3JaCeoil9O7arJ5rMaKyigMEzmlYqbgGQCsjpTLAQpEktUJvoX
4sAXupyjWp7DWLiqXXO619KlG9YxsNbQjF4xxqDQTn0cHoh+xf6m18xSx6pEeetI2UJbMOZdOOW/
ZS5/FvNtmqU3sWxVDNz1Z9uFuzoSHyjDVro6vMHzrOj+FXshNa7tEhsQJX4ag7vqhtWS6SFp4noq
lEdhhA+Fjy8fi5USjoD2mtWcC0GCfZCbCtyfskXocBO5CW1UZTyOhwgIyhhbH7qe4NAU8iD+qYpo
W5ean5cj5zCU2ByzC+UtzXneVesiD8lBwCwomxdleu6BsrtGlPz0BBuipPkT0xz0G5trkZw0HE3j
UALQqIOC8qyxtF1idRQpGInFqyY250SavnIGQ1VoXTTWP6bwG5mIEJ7OeBZfqXFdFee5JbU/SsxR
CoWIVcIfFlqzc5QDQoV3pDpaS/GABH+U+KwL7QPITUickZyM73FS3pAgXLhn3tqi/JAE6nFEblXx
/JnH8qAK+LW6dsGYPpScHb7POU2r6XjkGLGOS4c0w618/5Qm/bOzMDLMxc9A+AQ9o/mQShPSUHNi
WBHjVokOEI/jUj2aM96IsRJ+WuoHW/1plaeMmZRp/WSi1HoCB6w7xM8tNo6hsBgIN6sn8nEiH/Cw
Rbv2zmImhfuO4C0Kx1EK0mmUaR3lxxhRvNpBjI4tYR2TPiiQnhGmyldsPIN4LiFa1dysveGHbYMF
vUu3T1kIZllFxtkVxzIj+LLiALYqyapBFu+2LQlPpTEujloJkUGLkpiSwBZxdzfquoxiHn+L1AGi
nlhi4kwjPZNJxyyOX5mo+wsDBgu116bmx6SgGAU/g8QpSCXjYQnNCVmVq4Hrqyi3wNFvGsmzxN6f
ya4rWPV7afIkkL4JDkyrb19DVdr1Y/Wuh/1ZyFfTUzlJWcve+2lAFmrvTL/EfcY4Y61nWPa7Qkbq
X+/jEZUzcF63I1dpATGtO8EiPmQsQeWwdM5ihVhffI4oolCAG3HujCq/ZFRETSgJvQnWTl8Pqxd2
dkT3DUTcYdS/4W5FNgGiGf4nIhpkmVg3ZZWPcBayUuRoT0huSNi8PYX/DCD9ak6VvVwa5zpfFVNy
muvxPC5Rs4yrP8f8Re21lWVKRwyAawVyB4hSXCNzB5113hZRAVNTO7dGfsaxXK9yDKVGL732UvNl
Qtqw7jmaClLragO5thmzy1zkqQxC6GOzRjtmj5OXOB0+rEq9e5KQ/DXAL+17mn/emZYonPbVCsze
k8YPa0WLCCoRjLOcVWvuxC120ksX90cpo9HZ1NsolP2wi30a71QE4iaTY2xeb32nuTN2WmswVohK
3yt8VBzCgVENdiG/EoEbtFBK8VOBE/sS2ITECa0rvDBH1e57ixMPiCEffIlsyyThMmbZqMorIdZe
M0SbufwCiQhyDZIrsFBQX5jX+tVEQS+R6tjo48sTqfIos/zQPb0hLWJczrFKbLYS5riVUcrjmtwd
yjo0dt1891orAiNHtEI+qMeeZozdz9IHh9gXc3EXtBYfYZXTEFgCIybj0pPWIZG2mUJjh2mKkhdu
4Ih0epeCUnSqSHs1x0Wmj6S5z8gJIeBbLGW2mgudNbZZ7M9CiEsx8ytTxypcHGnu+kkMTZfUEaN/
rkYSb5T7n8q+j4vdxAIoVHPAo9sy0s8P+FO9cRx8Kx/WpYhqZNLPmN/9oqy9hAIQ0PpfXt79OiWr
iOTX+gFahoQd0ce6FVRF80uQmydCntRBZ1lZyD6mB3ltkFCe4NBJsBqA9sC8KOwSs1ipXboZVQBd
cnI1osEnS9Cx5L0w1oSnKTvkTN+CXgD3lLxMzxbftqNnpHTEcXgkz8wWodaWQI/uz8WMgsH2/nwr
z038NZRPd/w1cDBECUuFpsAtLtetAeGPheZDDRu4akBTAA714ryf1DuiLRSxMlo19LkIl9gXrVVi
6RciHoNcl1E4abT6BiP80pGJ2m2neEXT/tXS/QL0VbcV8z3vU35ebrQ7jk5NOgnpyKJdlKsCaQSI
ohrHsbZKG3MF9H49itbKqsw/FNn6shsR02yUKxK33tIEnx/ZnCL03gR1Opbio9qWXqpcyk5fyfH0
G0vaQZn7bT2TpiYXvhqJbiJpp0QXtven7PfYNDQDlshU7OhInkzmmOgAedfRbsbaV8n4hfPi1vbf
6D2YVt99UsbxtIZO3+HobkynTtKvvpHdWs28fq4AOyLLUMPgWT73jVR7OhjSZ86qLcE2zgr5XUAh
oKYU0BaxsU+zX0tz8YV/1Gt70x1VuP33p39PBvfRtNMu0jHwJCiU3Cf9kKfW9kSeSfiK77OjZveP
+33068baJrEp2ENXHpVedZ48MvjRO/n5PZqsnTpOL1l60yAAYHNfhaxlk/bTwCCIwulI/tN2BkBZ
qCNrv/7Hp8hFxumC+2YDEPFr0B7G+FGKd7c21B9TaLcNE8CqRw2jYSFSp1s/kN5iRTRFYaTIZEgD
PMLIIjAIpGUGemgiXEEw2veiwXzTcUweLRoW8Act+K3CwpiZdT9VsqugGrhVGn+sYfDECjlc7CtS
v26l7sWKYuCZisY4HwApw1VL0PwhVE4DX9WgucyTCtGYrnfGSQYEEsyzSj51SC+K5/WuP3I54Bs5
IO4yVg0x0DsDMMAF+lIoIwYkK1CGdU5oUpFFZKkia0kJymIQjQYPWb7UBIk2n3WxdevIWscCeoz2
vm2fA+TTO4ZaiWk+roxGyf/uIvn1lL1bdbZA6M5v80gcbkSrkS06AHpUAuvBUWQFXb+U0iMZmk8O
tgTXUoo4KEdQPe1S0gQFatz7YgyleTroi9O1fmnbxolNLTB5hopCYgkid0okZgGZsnSv7dCQkOrc
AxG+hYrcxC7z1Afk4QLsdoif96EJeWWCjTJtkOGQfCMX1iFexDS1P0EmsBYQDaXNKaUbYEjNQVqU
H0PO2gs/V/4aK8NLrVA+5OM1W8o2uCGPqhtdaAOX2Yy2tLGvw/xbcVRWkwhzoeJM97tHw5VDPh7K
iu7uk8BqBnFrWcUbo2F+aVadvJsQu4q6dQ1hC1PLP5Ar7rRIODAcwdT5peL7kfEX6gJyg/kCS8q3
yvIgTomXpL/dMIBKDcFycB5HeD6WHHTp9qi9+ap1SNhIn88YcQPF9CWnWGgUcyn+Jo2yi3uS1A1E
kneBtwoStJ7JHe1Nz+iFhwpf0Sb42SWHYVf31icIAHN8bqRWQhMsHAQAX+gDErtX6bKLVrWHsESK
0Wao+SeqRUVvvqS0A2MmRZ6l4NDOMla92olEFE9iiJaXN6SZZN8UK93cquImKkJMkLKPgjmCqGKW
pPAh6MDJNuK65mDhhCxACiw33dLgXqBr6wAmm8/Rf5JkIPBoSVCo6DQ5eQghXe8Af4NTbzBcDIRP
yxSpMGoardzLoLkNcFDshp4gzq5ZvoCrdXW1dUe5c43uIiI4jHcAsL8tBHQNVnjwIMDpm50BVnDC
OJjh40Z2PO8zTKPGd1r8ECwPMYUIyzMHeGfOaPCKSwjHxjQ3uGDIw0MddRWTVzF99Lx14+cuW6fZ
ijBDidTxKOVA8FlSjPYqW5kbvOcBS/EstrQaDegUzKTglovGY8CxkigGFPCejwF9yUQKZwQkB3Fc
virDlySSvGFMPA6Berxt7m/ZkheQG3uyTX1ZIiIaf7GQrLMd+2KGtuE+dIE5BEJUuZyS7BYSp5Kn
XmTcGFduZdRuSht6OiYyuZVPYf7ZCu9qtcHDlKhYOpBhGu3vkMWDreXtWpqMg2hsLEli/vYXg8Oz
VXTppgdsfSSYxNCUjSrqNLQ+cSK5GPwOdHMRcgZy296e2YgVjL69SFpMrCE8reXANNZo9Dc6q8gS
whcJ77Wq7DiLUQGAV8eV+wVTdZGQ0XrraqB/NKtIxhAV7ZDOsEcwFeENXCUwkeJZclISdYe8gVCS
HtOncMbQtjFB/hkZ3T90VyV+ebm9JBmHvJSPf5ImZ6BlN6FZyeES4PBw5KbnmGUuLT91pYcTae7h
RD+b5lLRBiD9+judugELFzb2WWJbEOHzIXkjPQqFreIBH0D5usiMlcZaM4huSS0hjCxavqvpe8ta
d9aTHkjyXFpEAeN+qakZKEzrEOFtOxnHrBvbC1CkoCvjdZfNaIZS2pn/NJJjnUZbMpmwDYAot8jK
2acMVjZgLnA/LCpPrDSpV6ScaBtVOPxLADeYlDAWARkmKPmmGof7bzMoO1qd75YQoiCLU/UgqpG0
Eozmj7ElliWJ0GPk3NP2309rRWxsUjNLqj5+9993RKV9xp32rtdSfU4GLTsZwlvYV19M8bRtPspu
9S8rbPkuHiLDUQA7uP+sQx3EUusZSu+I3ktX44R/7NIdz7dJNw3psKXK6sq8pzHpJCEIzaS5ixep
iun7lSjqzX4SL2WtX3Iy7tdxjEESyeX02cyIKOaZe0MDAwaHYg4JcGHT0ApT9dVSh0lQ1s8DgiiN
WLgUMt89/DD6VzKJEcgbZW9rnHHhD7aL7ozB+gjIdB7RXBNlVToCyOcvK/1RNWGgnzg+aSyaOvBE
YHP/fpTT1l2FckY1ZTALsIdlxi2UcLNkoqxbS8eIgPqqHfrBq0RTfkWc1MmddjXDjh5WTRBIPOMk
Esf4JoSj+7/JLP5LNbWILDDAIJvSyFo1tf+KvK5yIzKePa484d5hXFBi9lzNer4ZCZFCKg4ru23G
v7C8i180hYgBTXdKqYe7eWXUxaq4awwY5ecp62eKopT0xqSFCD4RfHSVOMj/byIv4/95uaS/6hpr
vywxr1aWBO/vxwWkDAod6f+kiJmVUMSCX+FNJnGHYIChnA8CSBKAXKEnClN+0ob4fki7ZbSt1+Ux
xQmzei455frcclqf4BMukokknc/59AxhVKrVT130/AHzed8iTnAHwA93GJ4sjgQ1H/99Nyftbya9
/s8fgLS84v9UEZFpLYs6EifLQg2g/uc7gpBlxsWTBG1O7UA0kAMc64aXWRTCYZSYJiiFQP1vFPRa
9TIOBM3ARqcPr9iC6EUYunbhg3UKdfrnw7NW/8vr+29ZnQp8Rl4kU7Jlqejq/uuK9xD5ekGuRSfl
w6b3C6o6V7jaSjKgZUpn+h+xRN/cwI+8i/rrDDpiBdnhfvj3Xdjfvf/5FckIuP7ziv1Tg6n44xTN
1BB0/ecVI8jL7KylP6o10uB1EizmLi8WsX8/7wDzM9jrrgmpmJzzgkIXEEFGItE54RPrejLg7VCD
WnkeQj0d9xrD3bqjiaFZlfimVVAC6mQwLv/za/7vD1njhVqs45R4liZaxn+9ZLlsmkxMNYy54Zmx
umYbs2N+/c//Bg+usTyt//+bSePkpPNYmZahI6TT/kuSBr8ivoPAJGISDj5qGRJO7Ol1AGdHBorN
Az5vs337RWbPxbiYVyZkm34Nh8VpVqmnO6InepOnB+0uvmSH7FBvyqsZMAWwbvlVY3C40f9wqTCM
PA2P7EIleiWY8IfA8yKoX6pPTXCAT2yVrd3tc396NbZ0WBwSkFzJxS/pPU9mUG7UAHLMSg6mQD27
xotynAJ9rx3lM+KaG26rQ/PWvVVA93cAk/h7+iNbh1vJvQdmkB2MW/PWvCVXwjyPYqCf73vlmOxa
v3RLt/CKrXYSruaF1JBkD/9rW6zB2a47p/JqN9moK3VFUbUbgvBNXj13/NXNfR8eGCof1RUwlqsc
DFwCoKkf41XEYgFZ7aCe4tfw9/4RHZOjtIaCts7dyKGOdvHMcBUaG3kox9WbdFV29U+41StnemDj
FUwgEx4ZutP47xtRT67q3d8KNj7AkId4K7+FpHvadJp85ZZrXr2zvuntQDS6UpB5xDf8Ema9igMU
etL26ec+QmMg8yiIf/ED/w78w1+ZZ/nDqn0pfVhYTG4dbQuMtHXUX/F1Wd0c2UMNv64OqL+EG474
EcTNpr5CoywO4y6HxLHraKnOfnnFqU2pqsluO20nhBM3/g5/TrjxqqKf4U3+ax4dNy+0GyDTCIQP
1UH2VK8ISJkMkmP0Yn5Y9F3e2/f41Tr0W/0ksx+MqyJZha/yR7rnv5V+msYg6/fZPnohqiP+jM9p
kB/9IrB8ZYeBLRWd5iLDFSu8EYjhFZLLIV3Pu+4Q48/+mHe84kd+TU13Nskp8gCeFpZTQHoqPP4E
00QROHFoc3rE7Tq692r52XiHUmFrzCMKby9kfrruziAottV+ucS0uVm53NztVlzPQ0e7Fu9T7wwh
d0NPc24NnIV+VnFR/H6XHp6bzqMy417UAxQIB/oH40t3Zn4ybyS3OXB2vEAGwg0XyE59pYeBFZIv
oYDQpPpndhTTGbbBU3P9yHblQx3JYR03zIGWLjb3c4AhC175s4adhfIbsquTeeWR8KElO3zVhRsm
hEiZ+NYB7XtF8UmAj9m5d5ON2JFVm9Tw3IeY7aVr3jdXooAcx7q9ztbToT9Nn5HT7aUtkYsrpmVA
qOJf2M2EnYzghYvVzOqQvfbbdmscYHd5ZL35ums5gocXzQ89aU30CU+3YGeX6a3fcBJz+isPhtvY
T7fZh+cw6N8J4HLQjTq4p10QA+Dq7PtPvNcuZmlbh3RPZ4lbN7a/Kj4whZjGn/wkuWTdubozfCqu
ZcuOyyPksGiAhqptbF/e4PErfK+vaHmREGCbPAdHNdBsoAg2JKfXyksc04Hb4pBM5d1X4drws/W4
UZd7QbjNbnpZvgy7wcbkE+w3yxrlkzmyk9yRn9yDmuXveYKMz2+PP+0Lb2ZtcREqF0swWMXn2xxU
LrcZCF+PI0JyZbAB0wfXLwQA1Lmb5KdM6B2sOV9Zwh5Ykpm595Vxw0p0SX5AQMa2GUQ/JeeVNZJE
BOfwy8gMIMmB5uboksWr7NoTZ+qUzqPs8DynxKt64bCj3WgAPlD4wtwV3QVgZMdvbMkWgGYVr5Wd
+YAF/UT25oyb0k/PE2J+0eZOCyu/+2QEfd/kVjDrGwMTUL9lOP3st4kVJCCCczfeSnc7JAnzJ8Hh
13lcutbh9SyP5Uwz1RZhbAJ32tecBXcDYQSjCwqEWhlwCoTNltwzETq1D6xrbFyep+bC4Motr/0u
ZPyaLddCrhwrXBW8bz6nNwY7rIbI3CZUVA5f7k0NnhsE0MEdJIETPugvxw8Lu9hmdLEVXKLT6Jos
3PMNoNeOYIyzue99osz5y7KzfNxM+HN7GOFx2Gkwr+NzfGZeyHPO4+jQFAiSnwo4E5osoCZv4y5c
m9wP2QGUJK4y5cbkLHvMhAlyj/GqThkrprQzfGNd+tqahoyP/pXnhyV6RRvGi1jj43X0kV36DbW9
x0UI4iANpO3yj6Y86oYvssfyDnx9dd/f90/wJjQV7eovezPP1kv2hts+PMQPGIzPjWbZ0k044qzw
SQxZ9TCKr92b9a0H/FD+kyKXV5qzdN/RqLCe52xbdoap2Y5OaiAHyFDc5wZFoH9fCTbPpfP8Lv1u
pXNPqE7D8t1eiwtnU5d7aCX/EkZLHYAKgx1auqmoY3fWi34OH9K3dZRuM1XATrllD+uor4QX6RtI
ht+6+S7ZLFsp7+WbpvlOZTPPd8t/2ZsYpA+O1XxNiYeL62NLfBSpx/pgCzbzOJ8CzkuusGK5zuZZ
ui3/L29Zu3H8wsLB/hwfOv5gSQEy7shQu2a80eoBhmRnHeEtH42X9qYdR77U5Mleum158poHBYTP
137y2qagvsGt5jSontVVvVMDc6X+dW/lJj2If9nD+Na+Sb7QvvON9s113lEAXeoNoaBBelH/sNZk
rnErHss7j67LZ9f9dZ4czPyT5U5faVyecjfeos3glK7p3L3Qj324aX694pjo/oUuzkEHMKc9nUPO
pNIOhfGKCN+9yQsi/+/KwlbulG9gAS8qv6GvJmf52gw/uaNJ2Vo9N+Mtfav+9LNG4SIG0Ay80uW0
6Wkn5aQf9INyUjZEhzitT6PjHB/UoHhEp+c1Oi0rXXrIWTjFv/TQvT2v4SXflDuSNJY/+NyEF4Zx
b9GJEcWKGog1kzQtb/ymzbCAJ8RAXNW+sK792pc22dbYjR/hF3IGfs5uu+r9yiPEwHaZB9vLuotP
2ZEP0qlan1mY+AWINFwZwe+4CB1L9PJ94ugs0gm/8kZrm19q3d6PNr3PVIffRmeyS7+kTfruygwP
GSBmJ61KJRefXeyYBJ4lGuF8WZ2vQ+TTSUX/Ru+730/xMe80Pyu3lC3dW3jheRlcNmq65LAsKdjw
rut282gez2tFPclwwfq2bqQBDMjl4EctyEqb+oaFiuWBH8O7pVASajf6YbUCaYnd/i/6aH/GjbEe
PsVX+VV/qG/Ae39A8VDC8Dh9wnsmu2007exzqOySmY4L0ZLG6fxekN5R2cVv9ks2uPnBJvklvcNC
epn22o61HjoBnGqMZ9givzII0mhVvshhCkt/Q8n0PNa5zTA5f3ke+SljdANo6Eb/IakHji5Q9qZf
o0QqG4cMsl60sVeWps1fSngOBZLsPDUKFP5FupKIcMvYV+aLUBCvFPA6u19l2x6rwPyNDXuaEd2t
MPml01r9hbxH6DmVRkUb9p23VXxmn+lZ+loIja1tbu5uvx2XFfGz+c1fsjPUMhIAYTTD7bH/VaSc
TWgkr55sSdXoDHCnKo8kNH7AyOgputZ78dmt0nW6rQwHptHz2/A1f3qLfrJDuWl39xW8Zz4ZtBMI
wx/yK384CM9c14TLgdMyO/97Zc0rzX+kgzPg52MWyJ5f70Z/CKINOLStfGgHO32XL+Mp4Vkcb9ax
ecP+4CmuuE++Gyr84VCfIsUmsCu5TTxX++41DKLj/B6fle1Sh+Uv4zudPndeiUfrkxQH61M5h5vW
rrkE0jb3OV2yalOvBHBOzf0UQMwID9KNA9alPVlbKIBLWBOd1y0f5FlheADBGz5CsR7VNWpoXnvy
Ah+teaXA/2ipNdMDC4VxpDMIf8pGxMGXZHgUvyUcJNgkDwUlaXqITtzeB5DobD3zFx+/IbfArd1U
c+UpQKmRnssX6z1bD5eGPa1hnUg59dHBfks+Js8feGyEo3F0CbM7y5/SRtsYH9Fvt27eUxwwHyRD
UwgEFXEMhFFUjnFs/loQRAfjyK/1N5JFd+hR0suy31c8Zx2nIsFjw+8O8xUhQ3tEaccNqJFJMqxR
KY5f5sezcfwwsBv2J8X1IQHCFmGtjg9iULvCuiRsBXADDyWjCsvpwZQ/YKjFf/dXi9MuJ0HUzVcG
S/oFZRSJj4jTciYGdsF7f5Uze/5QNtUW7WmKo+oDzAeJgCfpg99ZzJbvKqdJdlxKOd5K99e64SF8
WC/8x6JPKWB9Fw91cIu3fOeSlbKttqi7Gd5bH9N7jYyxACYJbekLZcAp/35a8HKdOvTYeJDtmnu+
/GYCLTc4NZNNJmQ8qcA2mYO96obtNBJRZl79mh3vW7wXjhKAqjZQBaEK3RU7kekOYmRHfB++7pfl
3WnO2LoSayb8YxKv2pMhbk3LfYZrsC7P3hMjH8KNeJlPlvibiecoCkneJixmVu4v9FYdAwnKfKPX
61jxq6CgHXL0fNsluEU2dE+iu83+gGkhwUZGULy8i+kVTKwhu26yIYiNd3rN75LilE9fMl8n7Ksh
Pl+g0T25aIEVPkiOAJ1oHQXYBAN1Ql9e53pNarVxvJ+XO4zkU9qGxZt0g5lswbSjNBKO/Jj9mUAU
h5qgQ98Qnazv6BRfYDQoNzFdN2RPNbd6pH3ceqGhb9SoB0aBodkr9NOytLL2NshXnCiyWQYqAnte
mlft3fiqj4iKfMv/hDx+GR7CLfphPafwjC/LbsDH3OIgFnhG1kulUzxofbAVYIpGQDLu5t1yeqqC
KtDWxZlG3CdHsWdEb92W3qt98RqeqaU/6q/6a0LjvNP5DxCbJx6Lm/X63JIdMIpO92HAosB7i9GF
f3l394m1oXVNgOd8UTftmsCcFZJ+3yfVhH8vpqRBOUJVkO+eu2QX7aSX8Tge5b12FS/GVbvG7/dX
+UxNdsupX8nI8Zeqv2ElXSo67YZuW6v2FIYA6wi4YK//GXccQFHpes2KBSJGTM6TveWa6VCIP0zA
9YQal3gIbOvSvyfHeZ34tMEd2bH4QJLrcnkMpNtvyi26Kt/mGQ0eDz+8Df0zfINi+cKNM94A/3Bu
M54OYGYkBcp39aZ9A/ktAEyzHYM8BcT871tmuGA74E1TEmvH+A0/tIHuBdkLsoyb9C283M9Mizky
i/v+pX8R9+0Lg4UjG8lr9mp+6DxQv/W7RsTquLJIK7q75mlZiYeVna1d0guo5pqH8J1T/mQP/nWm
dIX9lJci6IHk5bxMVf741/CKV38SxVj1Rslg3Ih9+0m5YTjFHLpDFRjb4uxnZxz8Z+mdRbrgrP0p
fTW/xKA3KwAdG2lXX4dHdRBu1q2hWUHpTJnRsCQydHnJd7wrgB0WpTYCeolQTwffIpokZkhE5qZ/
XEtW9BxIw9MvMXhQHlGYvDTaFv4t5SWq7GzFBXp2Dn+Iw4mApYLnFJ5/b8Pp7y704zrSFZn0iySb
8Pk60GnZJYX4OCRbkk6UIrjH218RUUHiko0RD06ebYrRhykhcmSOXVw03LM86xMOBZLkHOERfXGV
wedwu1CUcK7iq6uv8ZZuifoomU8+2p8i0KCW2dIXtHGeC/Y0MfUYulJ/UASooz1eG1p54WW8mXve
LUGHOdL1z/QPiYPFlKTmvkNEwcrG9mJz6xr/31tUGJI5JVxTGnBn+n7/1vfhzqq1xnUL6Q6utY8w
PPntExvz8TXbWjeCUul5jNf5yoSbH/HzpdJ7qDSDuLBIvJiFOh1MyUe/7LU8C7y/cWtclMv0Adm3
LL2JuO6B5dmePnJ8JoMzkK/G+tL52E4kghvaI6GDZObxp56SM5MN2HsaSzwmLyKvc4e2Cu0VcwAT
7HCPGF/DRX6rDvnpyXU7h3/5N3Ji9GaEERJ6xM2CkI4Cp7/beFCRCadbmlWEvaqcS71WQGi9vM40
dHhm8YcinrjztnMizhn020vlybr3rVATERFJ40vHhbrcHEOGrM3lcjbmsray1LHI0rNIfsy/eBvd
WgQDRKIsLRLl0el4DJyaKHFwyvvuglQHFSlAhSuQOupomVl95FJkT2/doT4Wn/zrPAnpr/6xkP0x
PBAceWw+1QchJuKy4pAiQn9C5T4De+GwNfDt36l++GO3EZZIeBuxx/OqMnpig+rsZhHAOaVli598
3NqPRBUC2Un4cNBwPT8rgP6sqASyfJXfnFTYbpHM8Q1GA7sVajQzcorH7Nf9ckJG+F1fu0d/HT65
QN2eGtG0+WAiVyTfloKQOhlN9ntNNaR9N38VpQUnlj9ChQbuSJoK2HlpQFCAxvDhbCmjbUBXsO3Z
A1ZEVT0bd+4COj3cXflPQ9uy21PQUdnxqIjq0oWnEAcDidhDJaOQpeM3/Ow6lwtNEZQDc8DwV4J3
pE3pxB3ID5uk8bb3zd4zCheyr1R6OGys+/KJR6mTly63BLUiP+DmavGHhr/ChTWc3+T9cEdj2UAI
jy4YubrYuZRcbFhj7IfmzoppnfXsC+ssWi/JBKVLu2T6VUeHjpIEj7fyFYqzaLmn6KU0o2MRLYv6
6t8poKMsvkyP5OffQWqyQ+RjS5i329Ht4CkegUnB0nVgS8Pt1qEIdT7sHvQBVrJCfDBQmI02Svwc
aDzoUyA8oy1EgSygFUTT6Y0qSSJuDbyrgczpEPlEkkfY2vNLeQOhiPWNNWJpCaFwwm+KHy/3Iu7R
h0D39gepgzxuRN6LGTAMYSRS0rkD7J661WfPeWS0+yOd0CsLgkRjB6Mb1X6RnbrXDEUyQpl8E027
JydSYD1jABTlSZbZ4KCXQtlaJV5r2Di8zQ6QlN3+CeeOHe9RUi4A8QZM/5mPXnNK1uKupLU+2TGw
Uxtp0MQG96nslYv+kf7y/BK9qRUuWj2RnghLF+s3CFXiaBJH+mQJUk/jF1UNKWRg+7vflnuXABEE
VecqGA7lieeVbtzcL+fWu+nkVzZ6HmzaViyV7B2sqDNZU6yiOlJXXzV4+O3wD3gWBfWdbp38Ekre
M3ENAje+8d70hPA6NUPQyhmvyY3Wc4h3meokdSLQ5bLPWs4axAtqOqwndthhyVqWPjDY6s//Zem8
lhrXljD8RKpSDrdKzgHbYOBGBQYky1bOevrzrdlnz2YKPGAbhbW6+09Py1UIyn64023kKmDw0i0s
5aVDxsmCwz2J6zu5CGxon92HeqzpcuB8JG55xnxgQ/N+69h9x3c6COn9+RFvWnqVYiRq0XO+u8+I
xkhi2d3dnYApN4+y5nH5s79p2jJKgydzRiVA6q2T5hJt9BwKjVh8H5/JbQamyX/w6MIcIXEW2CQR
FYNXEBRYxrhlRx6wRyPFiqNaFLbQ7jySF+g1WuagJOxAAUTRCm37m4sxOlkpsRAe6Tj5CFnEm+ms
vxFWcPWcMw4xATLMaNgoP5TjeOAEPN7EpsbW8y6am0u3H/bpzWbyXiKSc81fwKT0lq2VZbuRP4hh
YBOhnmHPzX5Fe6t803gXL9m6P8+Ji9NLf+Anupfpc74olwiWzCm9VXTdBQ4g9MJcNNVvckBx+63+
YK66wZPgBcE4sy7OJ7Pqs30eblLJauryN4EKnLDkzfqUDzjKPv84R/pZeqV6vVmv8tE4mUf7Y142
u/KA/VOgvz42QEnknvYLx52a8P7Er8fz6ZK0ekWUNa7XYfVYy1Hw+LPZsIQ/jd+k6wzRA87isNHh
Eu7tNU+2fh4o2Z9EmrIEpKxVuC2x0qDqxHoAfSg2hf8qmIfYQKfdfTPQNSBjt19sy/NNk43IJ04g
qVcNwg6mZ5qnZgH1JRw5GgXYE+ofnyJ7JBIygfKNOIHfwAJ79+cfOqWZcECNWt8z+heaXK10o1cN
iKd6kw6PU7sa2C5QSGkoURRPg9U4uELETd+anLtdtoQ8bL3rzNfYvBhdNnt51+3KM7UXnQlrK3Mc
55uZzsn4V6GxbQzU4r2nA6vyxihtuO1aqGJciQgVmecyGGdr/qBoQdM1nKRrZHqUAOBCKpY0b6xa
6tv0Jt1o03AagtQ53tj6KCEJpom+zEaUVXSZTIhYi0A+U9G48e7E61yMLdMltiRWOgINsClnFmR1
x2IxLmHesiladNkDXY11bV7mFb+d/CYxA2X+wOvpL/QefrPMrsKlEK4K33yClpl9iwsdkfy0jk9t
BAA2EGT83v5ILjiKHFSn8lgz+qg+8/P9pb1OXJPap00RmHKrsHW4KRslTa2bzj4+C6y9DLaYac5k
3vtUO1pD+yyQDFHTcpsJdiP+jJ7+IR+T7+nHIecs8eDFm1TVOjFS6Ht9EkHIakTYix4WhV2DBxIo
0Z/yIp/1n/wbx01xveHcTsXKUjRfmYJlaLvYl6mBTI8dlPuOQ09MLlNyhbmC+IrFZ0iWrbFiVQZi
53gODzfehOlReWfVrW86x1ZftPJGyrZEWXEHJAXuw6LIpbyRnlziTBXox5CFU6MhrcNpKncTJgaj
K9BUNBiUl50SgppxYNAAJfoCSmx0iX/764PKhW2NkM7GU9B6xO79Nb8+r3Am5c5tJ29i/eq8+BlK
91X+Z3xazMxwE8mZxbgyRRMn2eIdupQbzBEpQzR46mV4F9akYs1UUg9hPxpcYTP39Dm6TE9paw0G
rQFVjMZqzKbJ3pP/REwGIn6b/MIvw4Na7/VmwNlnS/1X/7E3Ud4BjbUGJa1PAUnjDWK1MSiSWPCY
cMEs5UqXX8szw8762mGpLS6MfPJgaxI+1bDaDi5uBKzw0Ufx27wWL8SAufWxvUSsNuQd4pJwUd7H
G7N+/B5VjPtcsgWrMhg/6sG1hOLuX2cFrN259BIyTSd7N/75tkeTzw1H3c0d18xu/5O+j+f6Y/gc
9swfj/78XvxliWePVKNMcqCE23ATOYiD69eVaxLv9E1QykjlRrbXh3OBYsBtnPmP2aO+FULuH+bL
gGQEpJIdyfnuz9Mvo8/kXF7lo/qjf1DwcfsRcUSZRgCoxHQWrTmTUQcO/dvDuCb6Ev9+5saaEszV
AqZepu/HasEE1rjWB7aF9KZcABPTD2bRgM0U1IXocymW6G/rdxyHC2aISAxfenFMIGiz1mUtSXBu
wluhSoW3wbG74qjG72RezStfShfqa9pSmnl+HU61PTFDp+a4c9JmgWfTSfE/WF7SBqAp9NWJSti9
l/0xFqCdM5nPG5RVXoqanKvl4rAWq6IhAylnUXT4AQ1cFpzlTX4ZP4pvD2J9Aql/dFFXpyBXdHmp
a+GyCabFnrhhzvD1yPy+W2RNSMXTkGv1M33NFxbIaZe9TL8i1JSUGxYYHoHxKSFMJ4LbhT4xUt64
NFf5h/72H9OBXoZ+3x/+8FaHp4M4ufSIJivfk7tLuRlDiFTE0LXFdDHABA01qwLqLkLkIKRDFnDV
k/IROX6EN7mLNLgV9S05jvNnRMUBzkh5yd0OzHt38WsTZVDMFQKVvKMAEn8PnQu1i5VMcVHrw0PV
uPgd1FRuDfGceAIiWSh2wzRIXqSj89GwNH1L7FukqkZY9NLxh5m2GjVtXXfTtm+rzShnL99cF8Mn
xrOPZEXKNkUwS5n8Op7NN/kr+XHEHlL93f/YMR7fMv29wkpDPe/2vxPX8ldx1Dlp3B9rXJV3zxdp
VV3jKzA7v8AXGz1jjeGPqXy7yk7sS+NFhQtJ9Vb+5B/zBUjjyUWJzc2pP0vf08PPmaPP31zsQ7yu
m039fK+KsJZFQBreih6YBSQumiJUA5YT6r84QbXRIj8CxD1pIWXmT5AsXulXmVI9v+3LeKLeTJgW
8IamUMXz4Na+JWY4VvtSxNy7Bu44TOvpI+CNMYUutik9zMNvf70qrFbG2jywVta1O566D1Y9gnA7
7UxBqdLIphdMsGjHwBMg49BNta0HMYRNEfybhW1IdsUXteQTLgPAMYs8wyUC65mC2IKVYSFQwbCC
hob0l2/pan49NV+zl2kMu9rDWMNRfGjQg+FGv+zYygcDXt1yDZr6witZC3VmmCyCC1PBTdPPRBQi
nf2RgkXapFvmSoB6Rzz2hfEBW2Ky7unkyi/ncXn2+4qwp2fHuDGm834pyi1RRz29IsYgLQEmLptL
EvnWTK2XftUMusW8jtBW946HMl775P3cgyRGEszSsDInBFuhJ9+cXfo3HdSf6IdSITlXr8omo5KD
i2O+Ua2kH9xbIRyanuUgX1QV75/AkCXc0sKmURV9mwEKGIFYyzBK5jMNh8HRA3r5pOOgESVECIyo
bq51jWZqMZcBMxaqgwlJpYWF2lpIJ8O2DvFXexphQaLHjVj0dnxFXjrcT6kUyLfp8LzmMvuWTwPd
Y02rLwucMJHpzL4qvRXPgMCX8gckvWzfswohFG2+H+lhHO+qGi+K478x3SJOz/G3nnOn43Dz197a
d34ffg3ICtGaflN+LT4pTe9czigDWULsHYtq5kBSK1icy1z/jRTnfJdIb61L42Rp5adkj2FpVzkt
GaUIiexLJU/C5wcECyne2DrLoliv2nxnY4XenlMHL0frs/g0ts+f/BKVx7v2YtssQ3ik7u77nJqe
4rslJJPi8Vb+4LUarWdshomDEwmoLsogz3IZJD+MVYPZEGonv50ws2pIUjikCUO5Ac3G6flz3/SH
8jD9UhMBL+p08axqLA9IkmyuRldkCkospevo8ZNrwZy7ADa+/AW8yhQ9TxCH/drOXmDQsEhuLLeV
uc+NL3NQ1moOTwEYpOAlzhkBkKuHfeniD1s7dH3H9RECb7AxKdGyS0Lrp08DNSfvd4kF1DF96WF0
hlKkbRiWIZTfTiwctUqQE9eT6UFoMRiFGdusuNbt5Z6fzYF7KXs17aNELhwbF6c5mkAXcQ5mz9nr
+drJvp42bVHuqaf7G/scvi2MYqnzqDXR+XS2x3Datq8PSik8pHueIX+zkytxuqa1r+VNSjYfiaFP
WF75ja2Ag1pOjAxRSEiu8xNfeylUo0CuAa8nhi2dSwvSk2RvbBLnUEdrw1wOHFdKaQlPEWKWf02i
QMfHWzt8yIwhhlVWLypj1THpUTe5umlYrQr2tdEmS1w3U1+yRb0LoKpbtE5MUKoLQzr7ixvf6STC
Qv07o+nsJT8MexapDgML40dHWZWAbNNtI8WlkWBWz/b6D7i6X/FOGMv2y05fyn5Zdb999BcliY+C
rUw3EZV/nh47RPHlHL09pVPaDeQVTO9VvmT/kC+AN1E8fD1RaRyM7BTPp9hcS9lXn39V1gsj3kZi
uZMa4Il61RVHpDsJgiqGD9ToYnRJe6uw7JVbeViyCljfohViZIvvQyMcGNgwgiZbG1uVOnGj+y08
/9qVTD+1qHgg0gWGTeJLGCm4rR1SETL4Hd93ExcFanLVDNFEMbxm26d5ZcFDo+wW5Tmt3qd6Q6Dw
/X6QmoOiXS2CIpIbIeRuPpau4pzSaElaKto7MTqwVlgDKTBvWw9NX/ZWnOw3ig4mwel0U+f3nunW
b3fC2SA7dW9CJRtjOwDFg/kkTSxTMwqyiMlTutb6jaIFmbwg8pfARER2/kRC77gGuDSKcCoDp+e4
cpdh56+tqN3ylJt7k44LI8LmA2f/BadHaQ/JgK8ErkuIhEIgRpwBKX0O5MOcWVPs4lSMniKLaTfb
Gl1382t9M+BhrmSDFyLj8zf6r/1Wcg1/5ccSyk31lV6oJEkFOAiqlbyYFhpYEwXC5fkefRmqJ8k+
cAYTEycKhxfmJyawd7SzDvFervEy8swXNiJ1AQlGwFh1yNxhY75qF+sibS0/9jH2OPRMnRfjvO53
FYeQFvWsXhkSZmqA9z/yIOdoHZfUPNwpxkf6yjyYQSIOT/Fhinzn2LFKWJdiA2L8jo5rFe/LLWAP
mJMC6CD/2RbTCR8kfU34glu8RRCQh3W3Ho/3a4vh1o6i1MR0/I9oCubwNvbMrhFWJxhx+Y8NOmTC
/yhXynuJVoDZsAt/h+twElOFlj2NihDg90YfTsPHmAOlSKsQpAd+Q0uiXTraZTKYTFZRtaYhz5u7
ywYVV/Rk1DwhYx+aM1ZbhAqm9g+Ag1Y3+Th8PscteE0KzeNDJaN5A267twkzhnOLb9FrthjdNOQg
Q26bApnbGEoUbBtGVz69padRMhdL9t+loOg0a0sg5hsyLw51KGjSA98hSDj4G7pcAPCy4lMJzUqH
GC24TqhU3rpAUIS6wHEz7tDK/f6mpvUyD5gAnieRpQvTB53wKMtchhsuZh8+diPe0z1CtfP0S7wo
l1aAxfLWCtDV8SPU58t4d4cbTBjPClzrX0cqneJ1GpKo6DlYBh+MDfQYxucHMdwyNngZLUT5zhwS
ovnTZ5zbgbxZSx6xZDi/bhkyUwqTA8yCQUyUImatzonnT4/sZ2wF+/6qPHeMdDh+CVAh/TOTdSYO
NL+qteXLxy//2pTEK3/znh6/SUhhKkgg45Kzxf/c3xiF/vJlILozhLYJ/Bi16YJ704YMraix2LL7
67hkK+kpB3ipc/bKrIXbLjknh2KXHCDG+uhpFlhW8UbwxAw4jeIx778/rM7/eKaZB42Zg114YGjL
/36KJ4Yzke2IGA+iI18dxNcs2jzO923igGeGeiSOY+o/1s8zkupN5V0aFx1sKJiv5bFftZfyGK2b
fXEio3NbHouT+BdYoNs77GbYOEvI2f4MoUQg39k6W4PybR6BYPIZS7QhPhyADafrcF/Hn3Aiv6mW
eBuwfo8UmxuyBJf98rGA/7tybR9d0yLaRlwB+ko92hd9VW6O34rfrsZtvUJv8M5tujAXMdy0yUtX
5g6S/zuqMG5TSHZ8TOvsrYd+KJhq6lpc6IImJy5OC0Z94ZYrQTmEabtPf0Rbt83gotQXIou+JnDZ
eVvtBS9e/LYNLEjBkMcoB/6nFhZ7QfxD7wBcnF+s9/SIEeKNOlW3Ecx51Rc+oRCS0h8NSuPI5xDp
fdkTN4nlihsnXTFPWoj3Ki0FGU9e6wvBQtbXsBe8OYSLRjAJukHah225ktkGcspq2nTj/bFvt+LZ
Rr//94eb+Mb3Cd1DtOjeKK7uYNj6n+MipHapYGEqWSEDO/f7ETCY4pw+oDpbIeoJDy0nbFpBnVRC
8YT6WmcsJx0EyQLpOOQkRh+8gxZugQ6bcYbZ+FyZC5pBceSx04J9G+8FwRPIOiB7cYtR4LoPp7V2
SFaoxv0K+p+8wMBrK5aR8cCOwHIjFpzOe3uH2GexTsC04ePwGWLhhCCEaNJFDt8fzHANvQH+exnK
OyEXMZaUb+D19YGiELro9zftLdc796i7WJ0WC7Gy6L56kX/Gk/Q1n+6e45Fd68ULsbhAGAt1d/rR
/VsURqERxIvnRl4ZAcOBJZ4RAUdvC2jLCFw+yAfxWLue+R5ze7NYq3huF7bGrl3z4bZrnmQ5n+b9
vDe3KMqcr+YjCi3P9PGWciG1B+rxvqiX5RXey/f99f6rf7CQC0wYFsXRXtWbdllvnL3E2ujsW5j0
950UkPDl8fjyhkxpgZsi/X76bQUguRf5Q/5ImG1ejX28kz8Uhkx4cl21fbkBF2oG174Y+2hb89P6
ilKEB6cP7fTvh3rIermY1z2vNIHbGgCB6FogeQoE3iDLq8e03M9grNl+u/zNWLR/T7/8tyKwnnco
3hePik9s/0QJtsnEY8HDcwK+Vfyz+BALvfjs9yR+zOFzgEbxz+LP7/G04On4hP9/f8X3wuL9/3f9
IhdbOAEhmEsCsXyOCboAdZVv2M9WUahyonQ/XsirJkSO4BG2/f9zUvK45fWc4XaNgS+ndl4QB8gj
ul/Bv4tC3LlCbcfZ4nMseDilPdcFrDBOPVfD7Xo7Lo5P93Y7/rc3yat8mS/n/XNjBOPJ3OZwdMSH
eN3eu1V+F5aBer7SvfIe+jWnm/fTukYgnlf3cy6dO5+BP7PP3W5WcLuJK/C/Z+dK5N1ZHszUBXNn
FBDi9xLXJ+M0XkH81E38U7nU/XIpvl335dW8MLfPjQVNSBwCOKdLyzuya3KhtLwGVo/+0eFY4jWz
EMeUosc7isNvo8pol+JvcYTr/3+GqxiPiM2V2dq/b0cxwHHEdvTfpvvweMrfozjb/049uAuXhNha
xHYjthkuP5c6NZhRH4lNRDDem4Ugb8Li5gbNuXEFdxxTzeWAikzctDgKeJcMio4B/b5EtORsrA2G
hz7Oa7tqLb+Kr4U4DN7XetoRKr1mpw7E1gIcwxMJHZC1BCJYM5xgdRDrw7AwluIlBHdL/BEEfPyf
eMz496gAo8Qf8SpibYFhthSrjHjODCXVQGnA+NhFrgI3V2x9SMuQRmlIsvjjNe6BET5/xKc6qjUd
Lv+8+rfrbbWt+YY6mp1Qhb/Pysrn46pfwWbnadRA6LosmPMP9C8O3J/hxMQq0NAJCA0L6puNmFET
cswvDH8AbQxbcYiYbM34NiBfg4pNHNlHwP/DThQ6rIG7+iC/tnzw226Kdc+KOCz6gzi8/56WF9/h
geiGDmXYp/gLBhBSMrHl4Xm+qr7+W/XF12I3o017M9cmKjrpJjaYz2jx3z4zUcoxsAqzPRFtK/GV
DMfLXI9CdYNYAenA7XkRahtyuXkMl2ZIuDlkVEHItd4FvVMIBtNjv+236VFICMWLGYBFCVBGNzJ9
sgdyTJy1is6IWXwHBY74wvbOGGf5ZJbhsGUYbxE8Lo9kW6t8LNr+qN3VFxxgSsG2wT6kBXaVEENl
kYbbSoTEJk1eOwglDCX0dBM/NkjebfYOeWc2l5myMa4Z0BMedOichUrAunkkoMpFrrx8yH/ScOiS
10oGPYq9R3ma0vuPHhu/dqoFEpbZ/XlEJQx0DZI9MIXH7LdNOv/xALwsvu9AapoC4UU6SN8EHwKF
p5uyLM6JMZylVPOlk6zvbenvaeBJcar73/a7gC0IGnvOmQrb0U5/lOuxvo4m1vwbXpSsqOy1pZnE
fn/5zMBnmSHgKPOEGdpquE8Z3CWML3KLzpC0IJwQFgnlT26FicW4Weu6UG/TsFCKwcUcw/7WyAvx
8whvFOw9562mgVBPxr7Agy5JxhDP0wvaE6tkrnwaGeBHuCVX6k571nt5OCmFLJB+HTTImZAK4CEC
GbRJTg3u9nEayg0Gne0ItRiBPOZeE6o7h2kaqdlbO+E2kpiDMzaKQMcfd/oYzKfiFchHMQK+Ljr6
5Ny6mepC2Xa0ogLQA+coi2UMPeMVTaWK4DCbi4VkIg6ZHFxdt1gSLdnP5DujmiZeQ50wJEQ2nzUD
DVhICJSK04PsX+xkYI8x4pxDMpMwtwuQuvvPbNeYEOxoFY0kvNeAJsRXhym+Ec1fvDBX2Q4Z46Pa
cxPCCOHY9S5D3bZ6iRlqOvIegIjRVvy4po4daApDE7UygiFjCqtzUiGTPTfRW1Xv6/qjfZwSj7LX
Uw8qzIpxbR4fLxq8MPxl9sb57hyn4jzWJkZdrKaQKruBNR2iQfZcd+q6jBc4cZuGcmgwIHegqjiR
fDEHFeBokdrfagPbew5iKFyGguaufZfSV+sdHV5eemoeRARkg/zQrZcpAFIqnxjrDWBoVvo1xjIZ
MRB0SJrR/PqhfBR6fu44bo1V/pbSjhu63z7tatVq0B0nBlKjsbXtKSwyVKkYclQpZDLbMnbSPL8+
6i/dmAKcWe+Jthqc7hwZUjCpcEIHkOBWSVb2w95kd6rIYT6kpv16dxT4pgpcxgTOgTIucunNLhcm
KH7+e9cO+IYyWScQdz5ivs/bZ7hoN0h3R/gJM816XLoJ8yi84KxdM71E46oFhE1QTllhXe/GZjWa
h8m4DO2JKZ+TYydSeHL1ltQvDkjlADMgCgr9IN0X0Ck1tFQsGLm6raFo1CFpZwFdu5K+9uLGYnqV
L5R26cwoi5rlPB0jlGXohJRtmp+qJe88105kGiZoyWcATi3QCtZjKmIGVKn1Wj9enyppFN27DXni
pNDVO/17Yp4yYre0baUt7DKs4mXPaFrD5tAdu7UMykpeRK4c6+dnht9X9nhR412vkF5JIsJekv+d
mYd2kbC7QRfRn/THqioZbtZvufQ6oOKLKvCKev90VqEfyR9NumqT4NGED/iicQAk2RE90rwozjfA
m2IGhPYuFP2v6k9l9N3KV1M+xLCd2/AJ5Io0Y77lKArwg2aJzNjxegj/yAjroGSyKFw+d0URAF3j
TDZO/vj0icEGLpgHf0HQNUwOvdiOdmhYADQB3wHGH06MlViVx+aq4LrUTrcy+uAL4YKumLuCqDFp
cy++LIqFPmBuNf5wFyaUFbqADlR8YxASYkYyYhjkD87WaTc9wN94GS3Wo2rBW4viJUbevJgz+9DC
xPQnznzOaZMHJEfHUoDPT/2hXZtX3I8jaalVV/xeSIyHZo7Nj6AlPu+ntgl8ceN6Dyo7yY/LLS5r
aroxpWWhbJxyoad+2KGhG5dGdXiUG527QN7F7VayX2Pmlrn+Zz0+9fkw6lztx0j9aKwNCQ9cBYTI
DN2WsLARema3LlBNYASH9AQBNEwB/fTscGeDbLaU1UXFc03QQRUbKzPCTd3MhtPm1h9AZbz+DCdA
mPi5U4Sb81rGaG88JAS0HYyaqawHdmUnv8rSfBDq4KcgNqgqpsXE5lZ7SrNEAcBcvdHD0frSCODt
sEIhhvJ9SFcJNYZwU3GZ87r3DV5sgInZdAGd5tQ43+oXhwpIVCa4BDG+YGktRqpwYPy+WiLKcgLM
mmstkDFMB0XGODpdas5rQhUeudoVz3NYppwNEUo7HWZsZu0F0byJslf7rYm1P6MtLOirBQRIGI0c
a59jAlzSO4t7snPQK3kAy/USrinzuupXRTt90TM8QQ/kW0APfN790ALCMkLgJnn2sGqX8B2dTmoR
RBEGZbgQuYz95JfM+lAL8EG/BJO3xGrbOwK+RpS46ZCwtB6cDVtZmFjc2XvDPvR5mNQsSpuCoQjf
WoqTC+sYx7w7Xo+ZL4iho58g0G3CQl7ZOL/nAQyzmrQxnJEQbKDXpoolJz0/ct0wE5/Lg9IvgMM6
O2AWDlgePc4UH8kgOHyA8ZAInO/i4XMiJLRRCTkDgSov0nHTRVyvID6PHbPJAbr9D3Qf5F+Yeg2I
jFSB2U/Ue0AQ0M+d3SiFqYTZss9vPTPeQpgKZOSNAxS4BRItAZ9hlDj5kYEGDslCiAT5ia/s4Bt6
EOc+gi2ygV85NtweEE9hrsHeyBCqWBibwhBcAbPDiLARo1jfYPVc9aj4URjj7DUwF5MPiuNSbYIm
lT6gItR66dofjW+HNzXAdGaJFpCwEfncg4IOSOgRU9GJIGcsp8IHaSkAct8KxAkgLfr90ufdgDw7
eA4iM1uiSMZoMAfBs44ZLQzjelIWKCxAXSNM7ox3uAQVC4K5ibgr8WHN1rq6wK+K6xYuaMaoNtoL
Xg11gx1CS8K2ngvRQrGciUk+soaYfirZDtU2r4LMOJr5dny81CULJx72+yQ06nP0oRl/ReG5Lb3c
Rn2s2fmwXbyN5nFQgjL2ySQDnMBGknewzlzftlxikEd4esQfBEq3LDb46A/rloXZq+6HJmH/wG4q
NgHNLAANbD+D2jaPdROnq0aGnZBaKa4eWNEGg6zAotKPZKQ9WbSXJXrO++0OIXbCXGq0M/tk1IRR
Gu1jXr7kY27jisdf5IDaex2z4ahBNJpGpErPFj2tijsjodY67CIVm7LpM502hTIBs6575itMwQsk
V0QqdFg0pfni0ULKBi9UAalN6KEtu/fnhGN9j0uC76RHtvYCpCxfSsN6vr9V8wmWDeoopSIm4UXW
t88Huepsy0zT+nM8ANC7cdQv7LsKythq5TLvE/uM9yCcweZkcxXK0XEud1n2O9j71PkS9odkey98
DZkk+kY6J4peY/lgl5eAGVyTiZUOA9Mzl2b4/Boicv5eCO3NVsbC089GALKFRaIC0ZAdF2+rS/lS
xxhtniyJgCbgp21n7B760m93slXuB136whhfCkoFHZ7Mfi9o96ovv2hwsVqW296NmLNExIisOj3E
szZf3ENCJ5vr3KxpCez7CoPowSCYavuwIJ+FrAEV4k4iHRl8GRtL80dY9YBTZ2XlV6F6gnP2fAdY
aiBBHYtD/+v8gEoAKN7aRXwAsDmAX2tn9fSElPsJt2W+wRN8FcjdSfvhWoDrqn/isIhBKgTiWVpi
0GuezI1n7XgrS5gJ+PFVZ+OHN6TvSSFJX42f4SX6NNfzwca0gLEWHQANN2zKTDC3iwSTP8/EOCzy
tTTQrMDvB6xefQmy+zt2w6ByxVF7bX4g+0A9mRxsZ4OiCoTkzQ5Q92EgWNPNw7SzXrqkZTYaS9+D
mV0Iq32RbJh2Og1Mj8kiUYnyPrEkGIhtAdB0X8vx+Dd3EOYAHQmZn6IZAJk1ux6erBjE3wz1fmj3
Xvsked1Cr/lcWEUxe5Y/gXtHAzYj/Zt9qrMm6IY79Mm734wP/2HSRqjhnJO8FRig7w3YXXK0tLdI
Lymg8rOC7CXtFVyEoQJ0BYQ+1YEUNuivBS5xnQQGm0b7bEarMfwU1qctPXf4NhN2het5Ix2V2mbr
bj8N7dfXS7wFmI70COU2xIjf5ZvBFgVH5KGcKolroUR02LxVtnRSOmX91GyPSFRjpKYmCdm495Cm
WzjgOTT/4tlgsAj520ToWVRYI44qcyXN3Dhj5dmS+UroCMhxEhh4ekv3hgTc0c9TAug2OoaTUL4h
Wn750nk+ZpBZ4CgelPYjQ8vaeNQK6rycQ4qnJ3WNCWEqmKCov1t/8Y3QKD3F6ri4ztkhSU5GSSIs
u2GgSMBen+2Uv2bjtKr6NwzLw40h0ZyCLVYcn8e7AcO3tOECO38Viv6y32t5yxabbXtGeE0EYhtd
7nL5YuKpUTTJCxae6yo3zgk1h6zXvorLit1Xv0psAOdVyi9Bg78PAmlTmfq7H+2fZhBVwAjqn2nV
ZdYRlKEfUaRs2TtOaCvRrbGVl9IhNgL7bHm0qvWdfb1O+niXNCPU2cTRwt4mxFhucR1rdNhrjo6i
DssuB8dD7z6p3szuasfYLW8SyIl3uinzIsdQI5QeDuXjq5SvbUGIEBscEdK+Zpbkiu5T/GBaa/R1
qrdcq5d4Fe6bjMmRhsVMh0y3SD+iOPlMowRPamdljWVQahKkB1bd5jR2ABDzo2GpUH9NW7o0Wntq
oIQraf2qdVArm/pMRCyUuZkBf755TtXmmUqrDCp2NRrjMtcw73XmBZlYxoD4KrUeMFahPGADzzlf
zaP84aBZIZQeCZ9EfB+OkJ/oQesu38zCcL3taKdnwrwzNk2InaHBjlXBz9J5jx1qu2pifVnZEyPV
FqsLiBEdaDAyuNZBVNBkXIRgliU0yfxL/JOJLEIBw3/KczhAu3JKokjumEgGlrOLjMybK/QdLaYf
Sr19Ts8gpkOK65ua44JOKdRqWBdR4WGFhmANRiJQ7wS6GwNN3/0WN6iJifv47IuNKG91iGhnvbiq
5mWMbKYKhNhCBWSsnVMB1q39kz0e3lCfiAJvnn+V0P6x51H4WHfQUtBftic3qRChGVnqxY/x2Axf
NvMFA6wxGmboWsL3FjaPUi7wxWYo61Aq4dKGEIEaiHQ7EipVbgO5O92d8ZUtlmHkDK2R2FfHerX5
JTDk46KjhKHHzHJcOhiZRNkv/BZVWduNhjSk8Pq8t9ZGC3+y7yWYQO9cdjTfBnnmi1ywZXgzra/B
TY8MMK6OuMmYlxqN71r5K8VayofVVrssdoBjdFbNOP+tlI/HvKKwIQ0RFByeeN+tKJF7ShE2ymYx
tUsKjnXcvw81BO6RURcVTipp5MXvZgvNs2axOykDbeq3pl8d9upueDNP7BtwQNXpxE6oK4B1dLCH
jqAB80n0isiTrkCuTa6rksRNSuDhwfMjyhibl7ZfP+qtwiDZXltF8ycGN+rjx6KOnfZ51W3a/LPW
t6GsYPLP3f1akVQ+fXbmuygP1Renfhknolhsr4j2+vSpK/Cv4K9tTaB1/Cie076Mv/Ti5zlYvmR9
dy2JWF+j9WpB35gbK8SjkJs1mw53CgAMmPXxMExL87lQfh5daA7brj1mCujTHRLQ7Fv9C9SZJDtV
06rLNgQpYVxOoGQGTdloIUMbYaK/xdlavqsHbLkw1PEf2fmuXZr+zkpnc42yMdukP/w4ypY1Aufi
gHBcvxANjX1Q5bVDDIe5VesNDJ28PejdH3yXDvKytufq1oxvE1yKfUKePknsEqQihuPpNjbxAVtV
zc0isIYjkS0m3lezJQmYni9pfUam8GRYnxtYe8BuZ/25oAxPNE/EoD76VyX+epq31iC4ClwdSG4+
yMWvYtya4ienSJv2HbM26auJ32P7/WndSpO9nMYFiIP6kLJOv19z7RZlUGPUnyFL4OHjD9DfvZk7
2k+Lw53jFMOqkuLXR/eW2m8N/N2kl2GHv4/ZV5q8kZUljfu0Xmlt9GHl9nJkbTNG2FvDOYcQxG3j
PvNDrHxY037GJ6LdzrhzjNM1nv5H0nnttq1lYfiJCLCXW0si1bvVbghbjth759PPxzPABHNKThLL
5N5r/fVbi7/1cu+Zx8RAhOGeYoIlTOymaKVzftJcLKENDSwpSwlJaFoyMtM0XWu/pn5VuzcTNRqW
6kD/gWgR3uSv3Lz+AhYzuoUkfmJU+WHy06EIz5Baeaz6pvLyqm7HQc5M591MxLYGGQIVcjICCKgo
gCoV7jnCvoiLI1gXHa2gLLrDQRqPbdr/iO1PCagVRzgIxQk4GiRHqh66xvEnyP9CF09Ld9fETxv/
hPUz9aVNNm37coIglz9EZtKzreebrvKWpVJhGaD+VMD9RIJU1NcYOCqPmGsLQ7Gus6T6imOk2Uq0
2FtcUdxXceHvmQilASHQplNjzmDsbrNhr/CGCOAuRTv+dOigeu9ZFhVrJFOSVMQLU133HV0GxwJP
hOtn7IDGjMBQ1hv9IU6fTZ1ckyzdimXp2U01Mtlo0tEVaqqRzEZaJKrhOnIEORsFMveGgQxesAJ7
HDvzBDhQ+eCEFLs6lDX8q6VYA4EiT0hGhjy8VRP5H2xtUQKf4M7RsfSC3raYh0V/suiYLixDy/du
0BZ64iBmK9y7Kmw5G8RkgxQqtc6pu0zVoxtcleg3wILdO0q41zwOAZ4Z78KtHaUnr1j6omNUt8g8
xy24TneOOF/DRdc1zUou1KlHbh/kuXF0fdRaMQhNBnzi9ts+1ZcF7ENToAycGOMe0p+VNMRtYBac
k4inE0xZFJWsKo653FXwyNSxupBdLrc2Arv2DMSFrrAS6tgR48fo58HDi/gONa45n4XDjG4LQB1u
2wRqrjKd1CtBArx5li9ame5CRHg4CMqKqDvJs3WRffO7szapsFJSDckUhShsgrwgWEt6bBuCpkIx
TtdnH8tIXlOxmEtNdRbkPme3tl4Il0b1RV20hZzWfyUkJ4waKG5Mdd5AtrCRVMsoZGAhIk0gAk4X
bmp59rApCEp5dePou5tVWXyWZQthqtsgwyw3Qtosh0nfT+2W+OqbbO4j4+koHiF8SP8vUBIwPuJn
6nQ2iZ+gZRKi10T/7k5Vy5pcKWvXEF9WL9MXigrT1KtnwG+tJdq+iYOl7KkzCgRnilr85Un3p9TU
CCg7pTwQ6+kIdiAk0UpTZSK2jbdSc1CwVmxLiSwkbrcY4WbMjIHFzNPyX3YcMCy5/FSt9+ObBfua
Kh1lxbT1CNlL+6fz5sk+248vuMFqtPynGWHh8112O2Bsszy6KdEK2p8y6s/M5QTIGxXeornmlPSV
I+7qAEVn2p4U49YaN6/ah+YhjZu92lOWlKLAoRPL1MRTnBuHdgqqUR8d5gU10526r7AZDR6jMlUb
YotDSe96MhTrEWjREUeCicZAXgVqs1KQ8YkShHdDvCNi+iaodnoxuSFl+V9QZb9mhdS5KTZFNXkm
xOJk4pISMNsOTbBR+aZGQrU0RIwcYWe3cXZgHt17JU5yo33XWGbnRjSHk/ITnbcyIaeAUDvzELsY
5QweTIEXPNHwGPgNhHA9oIxSpo7Y5FhmaC/UDqyktegErflvreBaFbyc2UASPD+tyjlgS9SazFU0
esyFKnuJZX439GVaowOVhV1XctvqcICApDPOFG+WJWTIj/naQB1Y9tI2wzfiEYwX8IOac8cHV2VV
FwV8nqRCQ29VuJwL+TuI1YseSoz4FaEaTc5DVn/rBRICo3A6sTsWVXtpfKJRsaDgzqHcIS4e9Teh
1geraJbaFg0akj4O1ZJ6HQsecyMOLPGrHCyEfcRHUoKx7qdja+qNFa//TKl6O6yNuRzgYDYDkk7p
0QMOkcgqLb8Jd+5nAHNvmQuHNmgKTvzhKZjYGYgmi1xqwYAN448bs6eaHh43TC5V+GjTYtcEjAF0
U0DgwGTpQMH8qIrf1COJPJToZhzPlKWdFeEk+xaTlMudHJQxdZoI+sp8LrGtRwy1IhvCgNGjZjat
qAiW/HMcvcCDYEJC+aPwlucsPBZSUT9gEeA9YEBEqdsav9I0MwUt2RY1aT0Fx1ONr4BI8JboHLEg
C+NQV1TE8EJ7w8uTi8UI+ZTXK0kRr2mgOf7AlTSa8a+bdHYUMlX6mOHSAYRKHXlSm177Rzgxv4n6
rnQXD944k/zuLeU8T1gXDIRLtUZtQrYZkv9+6emfc+vKfo42UeWxRkpAI0o1CN9ZEf72MblZ3JE6
D5FRndSSxVBX2YFkpf7Lq0VoqbwfUNMWT8nAx0NJ2mzgUPJ505oxOvkDngWLrnuEp56RfQsVialW
YO1zkkL1YZHJmGnz+OhnhGBHYG6F7bpHOTvm/b1jnFKUT3VLOoT7HMTKrYjvrfEG4uNclT9NZbOZ
AKKOw2ZEiauNd/BS0hAEiTH2VcRLq1raYvYR6nU/7tX8psg3q3zM6+6uYAAua2Utc1p6lT4XOGXj
z9C9Rv6FSQpcZMeNT1u18K2m/plJ49in9cNl5o2RiEdZ+JuH0UZAjm/hDIUFaUSFQtroTln7jiIb
nOeZ681lIwc8T3jWS8s3ba/ir5rxkFfLMFMeeuRTqECLDIhVQ/t5RMhADhEgpzTZpNc+Lddqaasu
4VWGWtmp6WLeJFmgCoB5mNWN9jI1DFONweFEB4wPU5pDCC9SFd7aE0lwGmdyidahZ8moJffidxdD
8W8ih6ZUDjOPb7aig8Sa/aEtrG+NtTgMq59y2ta94q3nZbWwImp2TZ384KDBI6O7d0usX3oZLOP+
nvaXEAscpKnJnCFzBmNO++/IGqvF9C4xDiQFRFLG16pS0VMYFE53eNxdeZcG7qzlR92rtI5ZK5l/
7+dTH9XRpQcVDFxXvflg0gk7Xob2XAMholRAGAGpwGcBOuEPm5wUCgNyBHfLTpWJCfTCk6TUUw/O
zmuzd8M65vPu6Zyfllte00FZ47b30elg64FibdzuP4giiNZq/KkW5jlcp+O4lTfxrtiMyGUFvsEp
8tBxa20oRt4x+nadNN2m77rIiJ+2cCNH4q0qwQRT7VHxLwPD+pNLZV9NNcSF9avo/d4NioOXUoqk
xfMwkn96k4AwOQQ6ru2y6O6JK53FFOS4qL8iEh7cUueT87EgSVSIjPLY2FWYg1keQwmP4Mhxb6q0
0XCV0Cfg/qFZWGjoPtoyIPmYoE5eaA/pcqCDtzQkA3UINKKA/uPA4mbpXobyrpJ/dAuwadP+xn8O
hOBMeITnUmhVmvggyVgQFhm8dUBCiFQJlM6ipOsyp4Vdsrg+vWBciMbVaonTKS1a7pcZxuKBlSjm
apB45H3LvwWR+zc0/LaMQceKU4VvulkFZAF0dkXTUFAFcx/xexmiGJRdmxYaJx2Kld9Cffs8VBE+
95og4X8tp2ojUueW8Cp7+9rq1yrFJqN4m1aYWEbNgSMvK95NfqMViiRsTCqMdzFCaDP+RNXZBYbp
4fNgb4dhRV03H4U57JT2rrNIJ6yXJV8zl21YInxEh0MlBxfRGwsu/XGCv6GtOhnOJSabfEqlCE8W
H3hjK/WOTbkMXk12U7C6jOz67P7aOZSK2bwU94GwjyzBkWm36oCbxTRedqZxDcxHO1yieD3tVvD8
ePJAI0lY4v9mpQdBTrkQxsFTwsCEpUdY9dImqDeWdZOwUoT413X8zoqHU8MpBWqBdibcW3hicAHO
c9cq5S1q2S/ctF0UKHkj30fkSwhRdA+kFP6JDQzsR0w/Pjb2Qj7VtBv4Z3UEJ1n0HvUpMygCDkqM
JiO18R0Gf17btRQ6ebRRcImM3E1+KvNvH1iQDTJcBjd5pKO8teDyJT8gDjcUdkWgPgPoCPCn7Km5
64y6OBmIm3aRuS/u8/I6ynPABF3a9dptqP54LLifTkl3VqUVSi2DRB1KQTynq+wCeR89eMUOK5U8
zzPKVi7U3BpAG8LWLTGb8Z1sqWHwS40QHmgTSlnUGnVyq6wteTyoxHNadJiajsbgD99SoDeAL1Ae
ClWkpNOzy/Clpd9S+i2YnG18hCL9l7FKUdY+IuZDRBW2HPEktOg88FczrrGjzdvhqKb7Np6VDyiU
LnFy0h2m4aFku28oYQSd54k3vmr1XVRbndJ0a8clND2RZbDNUDZPhc6njjgpF+MfLn7tKhm36TdP
cIorvUHzNmZgJuigzXf0aWCTRJGtYI0If4fganVr9dwHEfeWvqdpHdd5BmUje8lOzdqFLos0QTUr
l5aioVVZHUdeBwb/wnQ2PZBnn5w7dWd22xGLYOwM+tMafMwJuhO2/iWoQ2I0sGniLVXGhjExICN4
nyQr9uQ6/R4FLMU9DzewdJ4jNszv45jZmY4GFMTNGokYANHWx1OZYPao4lVsfbwAmhcJA5PeSSxV
J1Okoyanu1Gs8N9TD8ccbkc8DHkdr0x5JVubiOe7D9p9F5760nNMSCsMexCZGvcscEZ7DHMmNMQa
y9Eo12mcrmwTKYErY1LMX4qYILcBMRFM1nPOJC1EsG9ZLw1XEwY5ddz1mJAKLmVROpXqua6duliJ
/ZlUj61VHQKgCNXdCPpWteZ/gr6ACUt7u47sAWk6t2HXv8z8HQPuFgBzHEDgcbr6kIpHoD4yvrto
VbhfxORdNcj8wVMNPzrmSF5cIEhLYCxs7bb4MqnaQjzUl7Sg1/u0NMvzIBPFk7XpYzBw7HTiuxmw
R5osiqrQYQBs9mgx0urqYasO33ln6yY22cH61d32E+NT9iTNNvkGahHbjrooKWU1mcYN2qqDVjoU
Zn8TXJeX7lflIu8j4Yv8LqxCxL3o7AsqI3uQ8xqUyUKXjKcXtzgnvW6TJcm1lqVdXIU0DsQmhbta
lIGqGJisEtjLwJOzda6bBE4FwG+iW2K3wnWtD+0/CRata86D5T00DYjczZy8Q/kclD5iwPLulSZQ
s52G58zYCNah9vkLjj8u7viTYJ1Ng3mWQGSJ3CAVnU/qPCwR4AUvQfS/2vgcdW9X2fnKubOOBXuN
p5A8VtDMCQvqdY5udouGsQhe7b/xPYZZSHDfaziUhnRldfXLDeFU9Elz1yJwCfN/lDr9eH3Pegj8
AuiHXIVp0xXXiY4rXmDTiucWFACj4dgqGz9r9tTBrJteAME4i77k5JN6kj9jqeOuH6xvIRM57wwS
JgkKFXHyaGx0ltRseyiqObe7Zpi7zE+OfeQdM4kvuVJZLaW1mjt+ywNvDKSvN4sOW6hBAJ8kSX+K
wPDS+tBDTHTzIfP1tZbr+tbKiWFPZNRDZjxHkRBREEkkgzdpUwSZYCxTIQRbcEkolNa+UaaOKkIG
xCQkhHRIodkIV7m4KeBr2iRwUq3ZZim/WsKPgCUFKh9VD93hpm7XA6qDBng5/Qt7mivoRNEHjKEe
tDtHWwcR3HU+ZVpEQQ8VQQeQRvm7B2P3OUDDMF4TTdOBTEkwSBqSVJ01f+IBLHgJxLAAW+09Nzjj
+PBi8Hi4gbmJZ+u/RgfzMXQ6cDaTTsTZOdAoahAqktXAYD5DmDuOa1GEh+cOMHkWOo+Y7tRplU/X
G6RIw9elBpA44GbHIlerJHrIYM+0e48tQJYnXjy3P6smveYuY01CW3rACJajVku1kSm9+urcu4Zw
IxTxuedspFWe39KONjVDOjRSaY+DtpTpyxy0YDMPhOyW8NVXLelOiuB0Lc4D0dyKBubqWrF1ZrwS
FovI9mbyhqefRnpOHAzCym5cGf7Zk9CtmdHWTcqXz3qV59RUR8I+dYHs6RrIun0ZItv0kWR22Hiw
qkBO4+GV1wZpTnBFgrzFgZwZCVOkydO8Nq2Lm99GJmqT3zPIUZNSq8wEETEyuqUtw/VklE2tCdvo
PmJ91oxfIGGLoCk3I3U1/VdHrxgDd1xcPRLEcBxw/ceXKgG3J4fC0t5JhyxI+efxm5bZs9Mnv6M0
8G4vtMEekKj6C1N+1u4BfxIkCWZJgkAQzFzK8qog/Db/E9ixIHJcQnjzU1D8vOXPFG3ERMCHJs9N
9xKSTm8g7GI33TS3clWvhp/yOoXy/3kEYNnY0VrCP/gIvnYUNq+mkhUCoRflChU6Ribxg1e4lqfM
JevtnoTDlHwu2ei6CRueBP7KkugmEmbCC2a7C/FGTxNvDv4cXEp3YdFvJm8cAMvM26AYF28Q/cLF
f4bPaq/eqjM74fAjbacWmskBh7VgQ04V8Z9fkFoI8KGwcWsh1nqgt9Ue9vCpxePEr8Z4l7JNvRU/
6IiBp1OS2DGOXpMz7AepKcyKXnZn6SIsLlm7HyOHraC0yLbKa0F4fTuvFugMZlqyTVO2kU2Nrn9+
m+xUXEpfZf4Mgx96Y6TgjA95smJ2u6xfwjH8/49F2RElah+lOIniLnYJyE+gFsg5smXwLiBrwnW/
yEnk4P7/ryhN4lAc4MusvCX07nRIhcJLl915fdOI2b3DYhTUW4hNYgao3wmabTUWRK9j+0N60gnR
oZIDlry8Th0/UO960mw6yTi7k+IqWmfusSQPpOaDY9nJUJewl63aHkC42lYMYvNgOCQS4udzba1z
gYHnJDNoSaCgQfOxNcD2ruJJqbxtnwsfrUjs2oymUMRdnV9D7a2hXcmrh1f/GkJNiJ2wkpBq++5h
2mjb2FYo89VRxYKiRtIJ4BCaitParI9ytUkj1E3RrDDpoEh5mMW3aVEkKMX92YrjRyTg5hSLtRuT
mscxx9lWddSm1IlTuhoMRzXF2KD3kzos9BEXlS1owa81ZpswjHi9+y7ctmjqkOOrgiw7AnAqvKju
FDrhAVlHoa4rgv22WgWQUPok7+L+9kY8ZYWF2k0iPnIYMOgSH472oW5Wtb7t5X0lOkKMBbrNuNZ7
9xOlXYPFuMS3Dt4p1qrjg0M3RbHkVUZUWgI7ohvt+p06HRj8Q55YQ9wr9UofF2xHVXFMJr0qR7dO
w73R25Fno3KZwnj1eBGUm6K46Bmp1kjZXbrGLZtLZz0PExPawCJ0EhOkP65EVCatd5bbcKsSRyAo
7c2tz+aQbAckVj2aBq9Uvgp84zkdN73HylT/SNqvNIrrnJiqpsOfG3uzNiIuI0ZczYW9Q2Wk58Bz
SfuHwjHTeCzRHrD4s+giQ/VDZIDHAKp9bO89ASER6usIwbBQJzdFN3epVi5UND1JCWakVV+EX5sn
w1ihNS/oPTV/0QcvExIa8hqZY850xMsAaGGtAGp4QqePQtSpCWT/hn0mzEuGBgFoFhFpu1w2CQaJ
qG7nAbSPRLBoX+8qDaupJZgU0WSW+YUgtoQV0ZeN6m5VGZsW4X8RkiaNCJ3B3We5+DOIzV0o+K5W
ZfTj8aDwsSFJk4iTzd66iRBxqAfiO6450R+6mqwDZUCJzrlLNTBSjgjVQ6QCOk8inDBBVhcuirbc
pRHgg4W0ntIs4xAMSygb6Y6clmx4/hSJbgfikhnEC1a9dTas81guSK7wKT/wFy053YvqQ4yyR5bk
caAkpDsT60b5cV87JpE3pXJOStv94ajohSUIZJ6jjEfx/JVLTCMr0DKmXGgoIMKxnRmdrfC/wEbn
2X5BRsEcF9W+DY4RaliWEuXdNN9ytvfyPZ8NKUYWc5gCXqPN8/reaiu9P8lAZl8ZORA8zRYV1UwD
EQq6fmHiIW0ILYE5ccLi6RFxaJoY/yz5y86lY+3+ZNgs+Xlgv9ULbVtdvDx1B/9puneUiswPn0K7
eskKQb0Q0XkNb9IhdVJ6tgBpGcjrJLqg25loN+VVhGs0hnDXHfUpI2Esr57iocyJonuULhBX1/K5
GslpQ8JtLRraddA8piC4wVMnqtVwr4LwrMDFU4ITNxUtN9m/wZM3GpE/WswkDX7rnYA3MyAY4gxK
EpW0TfurFO4hKuEH7O6cP93+hw+rLx8wlvOcUtGwOMXVMpCWkraS43daXcJyUYq2PC5wt0TjLnSD
Yy4QN6wzK/BWZ8uOGi24ZacG9PSFnZEizKW/Sj54w1knHASWz3+MMkgOH4gkr0kGosjzmhLsQ+wu
1Ls2bgNijM3sgsZMq4kAtPmqSy4LVNdlwJrzRdUYGXCefJINkoIXZET1lh3m6yKvttK9OVWZ0/jw
JmRolnbkLorcAcCOpts+x3QYI7eYt0dbmBL/soruCoxa9cqQWeZYzanyJbyDKBBOVlRjCFAwNedo
wWqb3SThb5rxFaBkcx0Ch0bOTUw0HH/wrCQdAtQM/cKT14XLOfepMg5TR0ofOkW0OfmK9E8xVRA0
I/6lZF1WvwUSWBf4kDnFTaQTpWNitWmrDYvMU9e8Y5pId01fSlMGK1lZ0zI9QbV1+BqHR2n6iyYo
l7KMerlYeFjdTONBXvtAZK6qoJ92rY3ehqQ/ubZZ3BIFXe2VIg2A/TG0bXrmwmdmEgbuTGq1dG9I
F93gS4GUdQHwrQS5gv5dEjatF3+FtMqHvypQHEVfmzocI63XIeuJJ75Yfb9GAmcj/ZhWsW2POo0I
iHaurQIfcTXxM0DQGgcgdyBb6a2jCqnhfjyP0F9YoKdSQKlUPkxYXaNG+EhIm0jfNJvfAblLLZFN
Vdy6OpgrA7xg6DtiYpF5QdfCqM6HCeXEkBeQiuFH4P2YZzisLUQflfFAjZfgHEvsFNl92DoKI2Ib
JzPGbnRlsbtEg2rkryrg5saeO+wLcw9YMifhL1c/mQ4/UxOmRbC9QkhMUm4aUMZc6amwLJ1CI/Wf
j4t1ggI8EjPau1KtjWeSOEW41DOZCS+H6mbuySC6CXog5wedWtX+pgGBo0UVEcfef2KXL3ZY9pwH
wnYU/+UaqZ7PPp2YlysrpEjPPYTGWw1YfSPKYuGuv+E+DiommH3Uc5bIoDVKRgu4GhT9qY8iWkja
4wgZLYlH098p0XfCQtdwQSs9Qffqn1FcdWCTnPfc+maotroNi2aPIeLZsFCLw0oDPu/kQ48yNCTX
osXDj1w5eXrDAt2MWW5dxTaoKZHWMEwiv7KkoL66AjWC8GgmvOxe7g/ckKroBNI6AIiVpI/FI2iG
S6HnYN90w5yxkm8DSFqfHoTuomqPhGAUDvWWzM0YpecxG1cx+XT+Ie/3hvIXq588p6w3P+RcxC4L
uqLqM0G7WUweksqIwPHSeJhRFMpBHjV/F2p/LHpytAqkg2wRS9ks6egzqMcSyD4nISPfFPSQxU5L
rUHuDMYRRJZ72cTM580U7zxBDApf8xQB/i34L/QkAEdyvNOwYv9DkMr5FmczU14CDmSBHaSrNGQX
3ob6ESWPbx2C4B5wxWEN0sr4r2g9w+HQK4RjOu7DYkfY7ZAwdV9pMbaYqyDNBN7XR6zeFH+BlGlQ
TiWZAnwxorRz+4Xm7ljoILXgNybGRFowGPcCVrODJt+1bCdDureXQD8lwYr7TFPf0zpYHJGjasZK
fAH7AfiB8OS9Q2JW4S7488CsoDNDbEcoUNie+B7fwnQL7D2ouyK8uOhX/HzXwrSFxUvhmq+5hGgL
alaS+SPlPAV/kbYu+4fXHwyCCBRmV3MJeNJFa5LQTfQBynaaPWrvZpQrjvWWPdFfjBeEfAX+wh2A
BdmMsbaQ8SGWc9xodiMvQxFBBX2Dm5bxR1qLw7lPz338q5OiEJSLpCHncolBp9SXKrfFcMRegmG1
56PLkdYt+Aq0jvUXwRR/2vYSm47SXZL2G3mx0s1ORWu7mtPQ/9dS9ux4BHbX+a5HRb4N2frMi1Zz
Ia/0bJ+k/0L9Nw23OiimvEzznWUcLIXSSSca2QoWORCJcUKYxaJfFE7rLytyxvR6F+d+uchFtDI5
VkvLrH6jHlD0Bort0b8qz6KpBId4YqzHyCc/FKv73tTtYBS4XWaw9So9vj8eFMAPSwlxcx1Sz/vA
leEydke/UAdqykb+QKzSRvsSTbNvW5QpWQePSBXjVGklAcSs3ALPvF/p+zriEK0YP7LiN6RZrn31
jKQ6KT7BSlGPBOOnjcOIPa+pixmWdXJo3Dta6Nz8aYsVL36jrOTxXLKoV0dReykdRslb/PJQ0AoM
Wds4+0aPgg0JbueA8BsTd4owXDaqZW7duomfRJPYzVW5ouiNlanUchIk2mCXQcWEqBn9/GHQgpk2
vC+lyhUHI0iJUcfF0Bntsmt1J8tx8gVMeFYLtBIszLxYYqLh3q97CO8kW0q8r01+pNKZAmrAj7Jb
VriWphBjAUEQQfHQcbEM2RTI3o88wm+lml4vm6p6pNSZM9a7CEUFINTBtKSNZ9WnJkyyTRbgrdF1
dr/UlWESKvKZtaZfolXx0CR3l1olBq72eHjMp9yPHHVnnLczeVjgfiX5kTTtLv1SCgLmCKui9HlW
srqMJuEPgHA5rVzWEC4reL8QAyk4stWIa83HD+BjcK4S35l+ubYkPkokqNQgn67B1FMvQ9l7ahYY
eTo2MPouZYki+uZYaSdlahGTOsAVO4zc4IU5L7JgYRj9Um2wX0FL51u3/5dLhl2Q7VJUVCoYIRkx
HXloGt+QrYgVdDuwlFjFTkZ9HAAARQBAafWQQN3xDXpkgxXAvXQ2QmayNuTjF3KDmtwR8eSNSwG1
gxGn6HmR/RA84qPhphkp1n4Vrp2BW3biCqFhwoFktoBjuktnrBcZxZYFdRToFRUYPgXgtiEJk/Z2
jk0eeaM+RBGQN40C+q/Yk7pSvdNxwNR9zKoamavIRN08fbpZEhwR9T5DD9hmDRGrhPSbm1QVUCXW
1J002zayDYH4q8SpwUdMk7p3fCZNspAQHWrptpbtQkJsOT485gdol77ZBepLb/4CbW1V4SIJ2CKb
EZsXa4Bi/LMIoIvIs0NAIRB3Yyq7QXtZ3K1abEBmJCwhlDUR09tXBCdjnmnpAjUtd6u3srFJLV9h
Rh415FuPLjc7XnpH5Mn/dkcLWj04GqZTCzvIOK3muf3uvV+BB8fcMYd6/gqB+04nwApTMfeL0WHn
M866gD6OnGu9eXn+bmyQL5rAOUjqXeuiIA7NUoCKL8yQPWWP+kZDkqihI9vIw5JBAIJyCFea50gN
cXUzdOkIO0xKT4J2gn10dOlk25i7Pj6zV+EAgWT0egC/YTc9e3X61NspfvZfYpGPEtwq/URCshJi
7esXcoWtUfrXjU9oeERjO4HPPQHdp9OGxiBk8F+J+G0I/0QVODYzmCt5E27adUBnOBkRct5/QcTX
SQwigOwmqiUnEdJlb0rz0Sdiq14o/lmXHNaVjpQd/OXcPBYgAt8mvzhQ6WTEE0Rw4EwcO7plw3op
j6U9PYymwLVvsjMdfPMZQWTzzff/RAnO3HwOeNiNEXYKvTn/2aSUIgk2ZOUwOqoTiu5qhNbCZpbt
zSXG3XSqfPEOeD1N4cg3XoR3RIlWC2viOsEK9OSeU2ggeUvNf7r1qyFwme8fIjPSbKkwHzUWkGRv
6efRP5v0byBfY9AXrLXH2KUGq1rWWabnpvjUIBeVvyR/53yaRrYbhz2fQKPbCacjMlez2JbCVapP
mLqT9CKW3yFZ2iMuc++fRYZf9mN6PP6csykmYB39/LGHhnDtRgETVLcdhU1g7l98J1guGi4hojbk
5fTnqEAKAzDuLL/3w0OUfqBDygaqFIVlQhyG/u5QfCjZVYNMlfp6NteT/UgtacXXUPBAxZ8svfWR
XUJAecS1JT64XnSXGARz35GuAQfxFtcQmYGCtYPO0+vvCSJq/W/+UenPkbYQCt//aMPdYjlWrmMi
MukQi1fvUGajLP1qpWPT/Gqw3tIDLy3pm2PECvgj03XxpbwZ1nwGmJIfGUHZHpaW/2IfpqY6cclC
BaDb7JsTPVlctcVND5eJSENQvqcqTXpDmfMKjXZxKk70TN5U4EzSssIrw4701yBgxDcWb/VxFSIE
opHjk5CchuWddwnp4ZSFjZGFHBZCr8nAaef4BtbgxMRn59s5PYUH+VPSBKDMVMnpPlThIPQ1Jtkd
xderQlnjcUfXj1EEATfGbZqNZ8oyvwKzqxSx4NY4icRsE2VazDlEEe0D/Cf6FwAlhefllvSubFmS
5xJvc2IC2X/BlIh6I7KdLZfkfloY42Oza5FjzuhB+KnWyd37FNgtQSVx9tPMdaaadEeob9bfQuXR
02+fOTF5ZCCsu+QC2NqSSDPMtaPrzvJo0bBb4lubHHgqOnWHt5QP34qXAm2d6hYTS06x37k8ha9I
nhyB4tqgIdgEa7hlwzw1FmN3kn+x48AL6vYQYFI/cNMq+W58TOOzsQylowo9IDlkMfNtEjldpOQw
qf2gk0DQMtt7ByzXs2YicRfWZ4YbLGkd/hYtSI9ksQMKc/ArhMUKA5LQPVreLk4uP9gkzc0Pjsyf
WnvtqpmseNfOD3/jtKPK3SWRKJfKrx2AEx+l/M9CpUN388aubtKFVQ3KO6BsBATYDS+8wSphSP2a
pXT8Cd7VJf0OYJsr94hKPE+/teQAUUobhMXj6c7Vds4RIGFeoIkbzI7Y28k1gzOnmDPd+eYKA0xZ
rmBlYGhQdJCXx+nu22m7xCcLKst/O76LaFmyT4sf8tiSWUE9XEyW9gAvMR8FB/Cn+yDuAJlz1y1l
uwF/cpz8fnqO0lXdO8IfhD4bSo39P1jR90PcdTdMiBtinidl77NkD8n4R/8Rxap0+m3NBaCQCnwT
rliRFBLHPTQxK2uwyRfApopYSw+uGHgNUpISyP6veaHaCro1jSd9wdcfZEc8zEIxZ4+Ir+WjQsA9
DZsOE1/urQJUwIQpAc8SK0aQfbNg0avEs0QeYbcLpc1A5Iy8ZtYtBm7LXd3uEN2XzdPVXiphU97/
ODqvHcetLIp+EQHm8KpABSrHkl4IVWjmnPn1XjQwMzCmbXe1RN57wt5rr2vlQEsyXKJn/pa/afC9
Z/ylHLuzemGpyQwVG3GBNmYGXJS9a21eM3+YF7WRc0JgjSgFgJLFUn7zebQE4rIkbWvqI+x8ZD4G
7qKHb0xQO+Fgfx6NCQPXbmZQNBw8RHMqtPjMWUzClm/tdzgzp5XZLyA6XVVO9l19Cy/XYapSz+6F
gKVGjXh4BV8g3iGViDvSm31poIUrCtTsukohN5y4Cwa48TlyEEiiiuP9tgfe0OU/SChjNl+ozKAs
nT+Rker4FLh7/v8LoUjhMvjoo0ca93GExBPowR3tngJ3Qv+Y7DN2bp38ZNxjWtCLUFZ8NCaMv5ES
wzZTefRDoOaewCi4i4urwYsaeXm26ybw0DQHGVSXb1lUIUEqj6QsTzJ16DwKm38CmiiEaAQT+3zT
iWLAGVLQCcl+c7b0CUHS19FK6KjMR027FLdCVSTbU9iJS4V7iAqPPkABLeSxfrGCSj0UkvCLDH6j
NvSszPV86dGkj4xckpw1i4AZIa1A/Iwka5B8ZJTvBdThsPou1eCjoQUySUlT/rUFDOW9hKp4rOB+
jssyeWflKdcerFAZMiXWNeVakboHc63S+MnyFfgcZTxU6V/URJgtdorLtJDCVLXRr0oMN1z3EAPp
Lh5Ddmrdo1k+YmNdDtMrUYu8Wx1DnYrJ7Vr1r8wuBvApuUYDtmvANQExKBOLsKeNUXoYvhdqfWEr
oUX3ob4MYEJslrrkzpPOqbMcdqfFDTV8VP/kjNQaM5nLMZO2+JpQo9LXa4DaZb6+HltOx1xeoxob
PYAt7DtSpCE9oh+9eJRMqXKnalmXG1jb9o2y5YjEfiVMvY/5tCYRLt2XVqfLlDK/AizanzRIKdkK
IZRpnQQS5gMHfz4rpN3Qw2RVsGUbkC8wJOn3HBonMVg6twFi9p7cTszsaoBLinGTdRsbnXqM4YLE
RogdWqORQxzBlxUQIPvXaLgH0R+ZIwa/NiSBXUHDF+6hBBAp7ouXJIEdcHXtDDaGJbWSvRiTC53T
WYegf2fmAU2Rrr+GxGHIVZlPxdgFdptddPVoxmctPFnjly4ReyK08y7lkIVW7/4GAyaCIDrg3ZqV
RigzwaZyXfv1qinLq0cLXqJ95ROn1jX8dx7ZbNUL6zrGtEVGNWOXVc7Z4bnGrbLYPFEeOjilGgPm
1Bq9DrS0eJQOLiVEpzsAgEIVMaG56YltkUfY45iC9eEYyWvTG+aR9fLrY4Los6XeL7j7FGpxnLnZ
MeZLritkB8/R+PHqS5EeMCSVWAJlwN/KppLXWBaPtXjgaM7dOwUATmG3OpCtO4hrllRh+h4ppTQS
npkrK6S8IPAcxI8rMVotHgJUa+oSCVRBr0kLPYSixz5SZRPX4TxJ9HPQPmrrTx8veUPpyo+9KUcS
EM+MbFcx5OmePe5NRF3hDkwLPBZ7In1F9JaHd00XVJ49+SYPe6oKlSVke9cx/wvmphW2aCXzSSCd
Hev8iN85lVB4QimJ3tXwxp+phte2OhrJLhJ2CEpTCb2ME403TL2CtFQFpv4ITrdIFTcp7EdpUxHo
oJyJhW2r86DYYrdhdNwcWolDRNtY+Rq9TNmeIuHRbwR/Vfs4dJcQttrBXjDkSTj+anaw8SpFaeYu
NTrpKv0Xd0/RerramSuNiw8frFOUuwa6i6BCZXQ3TLkgvLTm3Q8vFcPYYJn+iIZdkUBmrqbQEbOH
CMBxcLUaBo24xzl2aDnngGZQY4bo58alIS9w+3srmE5qRfzTiHfh4Cb7YNzxCc1hKVDcWOp3hdc0
JZdi3UeHXN70IJPhOeynUetWllZAooL0n5cvk3yLxsfFSTBCrMTcN5kVyC8qiV4dlpHm0IPQe/Xt
1gx+Owxn/TpoX433mwoOgJVWP476G1mLGWH8WaMnZ8ZsB+jG/I8WvSogDttprN2s2mjHkiiBzNNf
eRlxKII18CAJWFf43VQPLBkYIireBzyLL54Q6FrGmlDgdEAtuRRHJoN2Md7UdiOBWvVsIX8x2en/
3wgy55OFJcQwA53bzGL8+Gnik6BurPgcFTt84azdbInH39jgaldXJNZERA2n/8byXEl7A0Co/Ahy
BwGVLm0Xk/cJH0OhOwJeLmOhj0e/3JsrT9wjZ6nahUXIJTVRQ+haAGGMy9EO9Z1QADxERMbTP/2J
vOwEc0aWX/wRRqLwfITDnyzeGPXWwx4Q+pcAixdrrATUT1efVHXF7yVuMQA21hXVRNHemfRWAwUG
LfvRb9aKyYx9V6PvoGkqskMMm95l7vSyRLtLtxAd5BSD35bBVRzuMEeQGLZTLOa6V66EILo2lB+M
JxL3q/JsgDttDmhvbhLewOKcmXxF37zmcuZZdMMtMjveOZeIOCiW47wCfgD/Qp8FOPjDzcJnPhnW
7Nh+O3QmOWDP8UCCc/2l4LRnEaz+CzKnGZZ7Njmg/CdlEa70DPwOEwkFyTcgIo5hZPYwd9LVdAA1
2CsCcW+mh6k9JG0EhZG2HEEKel+R4XjBHCheDxLKXZnSRg2mCFPru/vQDNFUEktTvoCCJbINUkng
ZcAxg1cY6bMXrdvW0VDbiYR+8zuhDCY7q1gov1SAlnoiapuaCvmDVawlhIy+ddGrk6Yv3XhF0Rpb
VOw22jhu7D6gXF8hp/D1JTIcVdwg8xF94FusQvYNZaK4kEAQx/RwyxYkk6iTuiMAD3r3RG5Amq2W
POgmIgrUKGwMNXxRCC6JHk8mspNrXC0fzcwc0968Gn9HE8eGnDtulGT7PPaQGBhsB7Pho9bfpIMH
jKnBTVvbJDsl3lcmdLAdaiRAkn73xHPgghMX+vXW90tihBDeNuzT8x+d7WNAg6XVSIa4pfnxmZMP
uUBBzDaCIYZfkvoRhy1ICE0ChDUXiZ5HCt5NsRc+/6kZKLG8XVL+BubFJdMWh2N+M6oV/JpoCnGO
URi4qyp+mrnTjs8AF2SwAsBO48NlIYLhkgSWOT3DSckyFtCH2AP5YAd2lX6LaDhU0MDlzhtKRgVo
Fxylvmb6wUQbmfPd90xMm1DZaPgzMGrnjEADiu8x2IQE9HSwpeB02uQWK/tcwk7wO3a/fn1Q5E9o
vrwwdmLr3bOwzhUkzDEboB9JxDX99iQwtyySRelooEdCwxjKLpaNxtE4kdmhAXuffobOUGiXrXVC
tkZPh9JHvZ2nMAzoGtKGNtAHtDJ8BPliAVrzXxJPe5y+8QTOwpA8AYUBEnlWekGE80R9o8Us2XII
zJl8KogSaZE/MEOAs6lK3kJU1QXF8xy99MxbByP3SWpUCzF/dJSKTfsZc8J18ugx3bTlOCl6GLkw
mmUfViDLZXdUFz6X4i71Cb01EAsi/SqKRz4elECcl4TASTe9/1TdRfGddJgISouqwrEH9pT1qjZe
XeGUi4ey/qq4ohme4VJI5+ipOVf4PBCzYNOTmTK0LO8F8UTpxv9K1lpn3FhoZ0pds/gY5XMkJysc
/kx0eVmvOsBGyyd3btJroDZXfMec85UFYUT6kuprOfxLkh+Zk3DS08jWrksZ/rxaddwqyrryuXBh
D8SJv9DYmlc4V0wdQTuGkRnabElZB8Fj5KWQvXzboQkR6r+e3pg8r5ZHpw2PDUDYBItFzixGdv+6
2NpLzZ8Mk6v7rZFr5XTeuvXQwmNG7lihP0XvmuYgrXB3FiPUvPLpKtVF9R4+Zj4YDF6+R5f6Q8hQ
bwOWcd2fSDmI5p/AIMBvXZQhdqkeW9dRki8R+3MQMKMmFjB7S/2PRw8TVG9e0Znq/etlkA7aM67q
ucVODTrR4F5IkBBVwgbxdo/FdfB/pr0Vz0tCTmuuwu4OrS1ifiANqFMaPs7+V2SFcNFZQ6k4WFMe
+QGBeyj/dOq1QzvWVjeFqBWJzXqOAMM3VmBlxIp6ujv0UGpr/ZjE61ggROOkh5T1P63vLxIQBTEa
Tdf0Z4BVcrvW9q1nLTIy0ETTXLsRDHQU+pRN4hR4Rj6ZzAsewBfA5oZuAPccvCC+BQOATokBXN2U
ESmsIGnguoW7kVZlbD9etQEDJ9MbUeQH7l+tEE3h+jDNeJQKwAASkp5gJZQ7GWiZ0kFw1A8icm8Z
7bMaRnYhhEgXIJOXBJrVcDn1A+voFBpvip7B9c92hBQeZGa4S1JnIOO+2mjZVxprkDfAcu3GYZM1
eyM4x8xSBmxBEa0bX8iUDTH2j6FjGBjzaJymZyKYwKR1vyi7P7oTgDApuZ93idOD51wQv8eqn03u
2whNv9U/TOHhUhAryyH7lspwUcsPY3jG9cakw9ef6YDgefwKKkB43d6IYNJADBxyInm9v0G5tmCT
4OTU6bqF1xC4jACYTYfcgDGPg3hM8eFE9HBdqRyN6F+l3wv5qholKvRkr4PdUq0JPEWXAfcvxShR
oC4EDGe70bDKuv2YRRtRH+aZyoK9Xmi8JFXy3QhIEFPPxmnUqj8hs+GGylfSeInxuwnDWtL/lRxl
huWTJxUsGjCbqYUjLfw3ut8uh5gffXToGsRM+cbHzfWNOJhMDoHLib968sO0WJhWXdjxCXwt9XTr
TylOAw8uMVK+U0Dri1iKIbLkkg5QB3qLlIkf/2+8DvWfYVL1tdYl909Nto2Gi5K+UKlCoWXmZ7jb
EKxDtEUtWvXoXl5xYmc1Q913iOkOFUmnL0oivtiWQV9sTo2/LtQbLQHHT9tdO93u0SYo5yrBj/cL
GjnlSPP7U2lcgnQru9ex3CviwYMcDTBL6q4IURL0PMIZ6OsSN41GnjgkcYC2v67Jlw9MlJrQkQn5
NDwnT8gSTJ8CMzB3AZTqqNXLsi5oCUh1pD1jMejChmW67MIrwjyxMyoYzntG1GmjLagqNOb7lTE3
yztRbZW4FtEfW7bI0lnfhwPsZGbeTqavRQMRxCPDT1dQTD7sRLiY8jVGxFxo6Kczb1Oqa+ZEI6Bt
6QINVemXMU4RayGyGEe4p7grEcpVuyoZRmsWHeWp0Ow0B9CwNHqQp7alTNKVQly59R+qxxn8DD4g
KmOJWOZ4KfiPSlt5KtOjvcg0Md54lAQD3Gi1+GuCtSo7pnYIiEjS16V4r4fdGFPVHqCoRSjJdW0B
xUD3thLBmfg+ENlhdpVIBt8TAfqbDSISn1miUnCy8dE5/XgqR/5A0nfSgdmzMD4BJv5ttVVPpEl4
9sjsGxGtOR0fdOnbassHhq6MztA4F90roMJ2K/LRtGYjSmcZw0ohEl4I+1ZomQYznW7QjZnSeij+
iOwzu01JfhcXqZk8p52e3OxifoacjaMovrWOPr5mCybxN4SnrKB3rQ+y/6sPPCXa20y/0+RLUjAr
edhBoxXemILDfxC8mX+0koLws8q2cjKYS22WIY82g++RocEM7VfcP/IO/hNAyyAmusBDhmkOc8WV
gCpyI9QAcjW46w3iu/6vNva9pRB6DgRhxI2y7zAo1jqJK+D93PiV8Wh5SEjkaxhnbAukmb7xWaFp
Zknr/pOPf11EY6ghuR8/lsGbO3k1GL8n+SReRhpg8kWgvimROBEDNl5Ni2mAeeKuSXGDBGdmbLl7
7ji3iuoR9hp4HUpSFCcZBEq9BstL+sqIA98DUsR+2hxTOjYg9IxF8TOmpFRr5a1KT/hg5o2frIZg
o4sryb8bjY/Llb0uFiRfh8jJ9TYeAziHunIb2GmF+HJz9Vdiu9wgI86rPeIpialM3/D7wB3xxB3a
xoyqTDiyt+hxneLjR3TV2x5rpghFo0a3h/dCEmB3MD0skAEt8GXRbyHnMpFMYP/lR8Rq73POW7S1
PpjBPmOK6bOdz+dA3lYiukLAAKhEL0jhpoUu6nhqfncD7G41AHvvir+yuQLPbXzmFwVPNqMzgHhm
zLiULy6H+JuSjIp/Iy7YoANmtB4mK5KErVEj0HXq6AbYl0XfST3FT+TDpYm+NffVjOemJ3z0XQTb
RHbk/pwJlyjHn8mSh8sthKkoutSqdK3VFAOwboFeC4gqE3LqRPhEpTEurWxj5MbN0ojOSMmsE0He
Jb/R3WCoh2of8bJKEABDmHzVY7Wj6Mt3DAIV68UyNvJ+DYBZeLuth0Ub7+2M5NaLtprbkYGVc3Js
elVO4jxzE6Gkd48lcxXirU3AOyGc0tTMgT4XrLWUJUW18C0owfhUtgCDiIIJDbas5HTtin4lMibO
ASB1lTZPmlWBjExkfkENTrWIT1OlFEuow3ou1gpfly7+WbjHMTp67loJyZ/y7ciETDnr8p0OXp4C
U7l63tSGPiVgJeFRUjdZyKBg/MlRCQ8lswgE76hRFwsVWUZOAyKHLrrT30oEihjuDJCWnanMjVBY
KDFCXkB93tIIWX6QDdoO8t5ojbfGN+B29PuEHGBDyfCB6xXQ8uJLzGGXViRy+NNViaPVpTiC6Z8L
TjvNqkuK/vRitciTTn31rIJfoZmqTP7AA+AAFg49XF6Dcn7RlICwvtTsjgGOfoXLm1VL4WP9BU9U
P9P2NyD5tkUUYjJy7NAgCCheSiQ43Vn39YVmyewmsZaZW6ldhc26ttYRtwJFnviNqWibVnthcKrx
peDyQZDrKv8fDiVqd/5ytL6jeCMJUHR5nWh8Ana6lxYAJ9VMA6gkpMuJ6T4kBtVa/NaTbV6+ksLR
ieiTrA37gNZ3aO3G7pDna3MKgxdeg0ZjupU6ZH070jergPE1V035no7XNtmbJOHCwnLDn4Qli9X/
NJ5KEjETz+gw1EfCv8ra8SWVLel0MihecIPqMIvwokeIGaqKsNf/gyWVBSMijuVK+Unye5s/85Fw
Pyr9HDp0C3m6dANEwQ2zlXTG4j07hWb+GE4ZC1ile2fDV+DpC9EbHLEUB2Ik6+/RStAB4rPxjLXb
osjmo1eBIEdn1vyRXUN/V4P+qAqcX+O7KV7zGC+exhBQjucalmbNvEbCqoWb4dUAu3kHZQGudM8a
Q5rBswHeb868XUzVamG2Lmgfu2YPAA/v1NnP0N7+8wsMzuFPCzMrG24+cdsdgPROZSnoGPrHiHfY
LQd07wPA3xqdJ6D+EltDmv364PQ83I90QfkTgApWB7RijIL65q/AHz3QS9XB0QwfM7IfrZaAXBRG
MXCj4ZoiqJKiewkPO1D1jVIFWyTHDIhydpZuctU6SmBK8Lh7NEUzs1mlBtU9yT+iwkiE693EQUGt
xXf6/5Pfx8tWR74QoJ8ym3sYXBr1NUK3ZiogxIhop8r0JPZ7jlmp2Ke8YCwKBVDQIs5jkoqZWxNy
QZEmDh8wmkLtmPFvTeCnzSBjxuS4LfY51EbQZxTAbynkPTDuKeFe4WpyOtM4t+xAD4XyMt1wLhIs
y4jRO08VoOhfoUMteo3+GcELr4NOaVicqvyvR/ujsjEQX1LALvndxT9jmgFj3KXmBckKcwgvwwi9
7V07rPZ0RxUdrX7X0IePSUjs8VMZvyMSZ7I3oipHabaBxaap3TbSMaq+J9RXBMhb/fPweghKNinP
ZtmjjVsqUh9h/953R2Cn1HjKLoT+on/jt5II6DEWGHEXbW/3SI6yX13cd93HQLczDaw2HYexcs00
EL68bqSky7uBJSP7mglokTKBdHMG7wf2+2M7JcCKPVQdbWanoyOmV+SpKbY9cY5DJCNLD7TBeMLM
TCnnz4Ryw1maxdeW+7ocJrTEzWuwuOwnO1x3U6Q5dZ8uLMXugqCiC/6hZ/fz5cz3CFleuRXJsAme
9p8a7WYh6bhSmd1AGza3dmaaEB2+4uyVkwJqdh8gGYRGcCC1AmMD72bFx1TdhdEucA9d8wncbpEM
bz7ruc5Es6ndRZU+4oZwBBUrOH5Qs2YfWnHY8ssFQOoKKHhD9ZAh0VDYNw3uc4Jr1zhjNUShZDfh
GsUPnjBZSYdnrsNVRItEKHEdv0vrXplfhlAcxArKAGvrSXwpMfqsvJs3fCB65SRgIQ3Mz/BJlMam
DwCo5vvMqZnVNsKuoqTAEAILJ15kYEjIhEs8O+DkyKBzKPm5Jc2HWWXSfiSU8nz0aHwhMLjSuVUe
ZrUzLEKGbUwWuLJ1jAmR94UNgRQdWXRQQGGFsqdOwQKDV+5sCpmq2YHWaa96sJRbp+OhQXpkJCex
23Y/WXasPAKDjEPs8spsS23jqle++Uza+IROJt8jGPr6PIxLW652AmkPPgZlGd+F0V99/m1qAfg4
BCJeb/9XSKBC7LiuuQIRtRNZKREKhf9NlW4M1XlZSBMzDpl6nsJ5pps3X3Ndpdq/TgQQY34F5Yl1
1PQNDYYjgapW6puRUfwmTLZIPOYnEts3z6MjugdKNk93OpcpyVYs+KR2ukpuCWJBWCiqjRU3500S
BQhpAoy/ZoUlyTganbwCbnsNMbIbXTnz5X86GEx3wttU1PlpM1NdwsYMl5AEggWLtdV95f5FUB+W
fOk8HqZQnovNAs4hUQ7CvkHMib3fTrJoqagW7l53mchHy6XP+I5zIPCmdDJN2c5L4JQtoaTg0bpO
WebkdZu/UG+2IxiF4JbjhkFFEZv3hFUyeBdfPY1oOHT5Y8WUS1vx3LgnUwbKAPBqtC6yy1eyhX2i
M1aKfYflegMm0z9Nbs/a/5H9p5Uz2vIrRxZ2YXGL3WhVQgkVBpuKOWZMwFXCntmAe+WPNf6Vj0BP
zr9Hlb7IEFC7o2LSX8WPFtkR7YIuAtscrhykOjTRoFgZ0yi1RZ73T9YR5HzXxbOTv/L0LahHCzG8
7F0LlGKprXUnvSa0RFqaAYTH2LPlwVtYwMnVAjGNfrUbT9rIBNYb7NCC5qck1kbhjE3GM2kkSJFZ
cIazzXTHgClahMNTxtZgUJFJuFnG+hx3yUJi1COCAsi2TXnIhrPBSg4LJGbZqRc+LAITXtQRwhDk
zCkxHdDQLPODfUhkRk22AACIZsYd7cmYrwVtrjXNwYjMWS8dDKBFI8IwvyyXTJRWsUUmeMyJw22P
J/gvN4yZVAOQTCo7yWmN9U0X/Jks3jvIgEn1EJnW5OWt5uvOb130VFP2zoYTiuZSco0ZHGp7hAZA
Y5Sw7VbAc3kpnSnSsanZnxWoaErSBgIaPKWZlSPiN7BlJXdyV5HCRKpuhbCs0wYWwOEGAShxWIJ7
1Bsepqy/J8pLoYjKs/A26Qr7VltPAgu0DoqnzXPrg0py0sNPMoa893cI4KLyobMD347Dji1k7PEU
Ma6qUmyK2xzbhM8Q/uMpmwhdgo9Dd2g2jZudW8eQUCefMf2J/UsPSbWDKCssgWTOcnpKKMfimjau
I/qGL27ZMbIWwouI8NPcy+MWF16kYxGjeg7OMmFtFNDI6+JlKpLq8C7zNT+74X2nFo5TuyrnrfRT
yXsBnXgAIgGTdLo0sUC7W6lY5wOAVfY2+DGK5m6KgHupuMCU77DEF6DffQK0eChsSvJMm3vKU0rW
Gjmc0mqwNsgBNgXLYI5kX1qxVmPVIajKbJMztdGsV50vYkC97bb0YPngDPr0X7m7D0LIS4z+RVS9
GG3og1s0NBk/Pzk8FsAd3qLmX+E+5O6mN+BNzGqlJb+Stq1zYD1rTXUa3QT1RwQLYxokaRhS7jpi
NIQaSfhoVeAOxVUQviRsbf6hZ2jQmQ8fkhLkaKZeHJKd8oUzPApXdudncz36Hkuk9qzrR9KAcp0k
sWflmws5wUKR03MpyNgpNCXQ+BPROe3/We0pGRGjIHj1Y8ZijhLltkBfOEyAhKiD26cQhwIpREEK
Hkr7gb4eNFDGmy6valQLGjEDHlhAw0fkzNWQaT8BGu7w7Vn7tgB4GdxdF1We/MqyV1ldLAKVKndb
l1gomLmbVyX6J2hnQBvk1m3U1H2VkrLKgBU2OhS2yXsYMoXAvvhPhwiQyA8fbU1cfCfpHY/4U+Fb
SryPlj8TdNEWFbbH0pWRch1pM47wIVY2WYJSprMzZDB8+BYx3fJa0wgmYX48kLQy3Hpr3Qy3xPvX
jhe5XfraXrOcWFbQIMmhzfiQ0U6j1vMCRdXwbAbHHZG/mg89/mgwqiwxXteM4LvgDja9eynVqQee
kT/k7JhQVOUrKSCX/lw2F6k0ZgUx0xzd0lXxn0J/DEGeUlmp7bIT+hle6JJdoolKfvAfY3DjF9hl
3EXy4KEG1OVVNnYpC9uZpx48XJxp/2d0rE4axk0gCttthv+yF59l7y5nYUoDFf/ERKgUZ5UNqt+i
c2J813PSdvklCybp0wCIimV0gDxPO/E3tS1jK5bL/BQnOXxSbUH1QHdvWStkxmxND1ShoApwpIYh
pfmNcRRCBGZ3PVaE/irwxhXO5ILGUS+QinHXtL/IuyU6S6KH4Z5dkuWBWrifljtPlxERtHjPGqIu
uqdaXdqdVG061gJoi6Gf6rHFBnUbeM+a1WlK4HDL1CX58aVvHnpNuZc6a2YDwvW28Z8+O+ehPbre
1fcdhYmAGT0x00KNyQ1y4GAU1dMSvaq/ZUT+1qoByqHLtkb+YxrNkdiJ8pPNpt0MjLRXKtMzrI+9
tu+LZ5HOpfQEvp2IH1k/0ViY5q63Xl759oR/knKMQmcYUJjYk3ZMps3Xt2yLpu2GxFRPzi5W9tIL
FvLMxAbYdKExcGGgaNmx1cW1CRqkbcIFU99Uow+ys+wKM2LWEy0iGkhaAQGnMoAR71FUwbHWeLHU
jSHM/f7Xt5N+BtDn6EaHTFwX55SWZ1JC5yrORJq6ZYUMNcIgQwB7yypf2rLKxwaH24F2qay33Hxg
zlgKwosKYFYs2xtbQnQOhFdED3YFaNmAIPP94hqO+6/uXw8Q4VSxnWwRsvLcVNoBgCjykWi8p+k+
sBxM1CmLPrIQPMzsDo1sku0SlvkZ6iLlaaZPWho5g369l4Hvc+Ak60pZsSufjtajBwfS55IY30aV
7SQMF6GGCk+dWfCmG2vnsu4tEl4na9nW5zq6i4wlYv2oh6cudHj67XHit85zYK4anw5xptU7Fi+M
6/rwnPUgzw6Zt/X8tUK4irqbzPEwOPGZzvZCvu66ZRyfG3NHeQUJfj4lj/hzHRZV7FQdH+6fxoHr
zanPvXjpo2TG8ZPiVUlYCi49tMFMoWXHUo+pdU4g2FLAceArpIsPTjduu3gpDoRZLCIfdPICZm3T
XhQcg/hL8MGiq/CZtVlfssoA0vrSQGPqCRYvk6AXDAYbwroQ+SBpdtsPQwMbDSYDwibD4Lhq5E3F
arEqgIrOkm49WIjPSLpmyF9pV9sotpn/lOETaTlXHQ7Mq+Jh2OVrqhZJ8lwgOgFqhueBcuRXyo+W
qiyC5OnLJwUZll8k8wbjYlovi+YjoQAHRORhyfRkcWFKt175E2M8QQu3OQJikxj0QvnEv3AdzF2i
Muub7lJvx8eu94uIz1vRL3G57xijo4wnWpSPJxWfbHV6UMjtrRx2LYs+s0cXHjmMpHLtaJTXwtrR
O0JADPGxUeMT1ZUZX0kyHXp9e5AsVrhjBTwQDORaZ+KnHnvWe1W4GDkIcL/G2xHUmZidyh8wLhJV
chBhf3OqYQlLCGmKHuzJB6lT7CF3Kb5p1croKdjLU9mRoVrbY/EKhtxuylPvI3sCpof0k//m6obu
T+/IC7FeXBUMesppS8nDq3D3RBEStKWNFAOoR8VTqyX0/TTz7vTPMv1TBORk7lqtj1Xz8txLL290
F48Fz1pVY/tiPug/yugsYXIUimfT7BP089IAi2+ptL99D2nKeAkeHtxtkRwDqDAyHPIwUBYKdiiL
A58qZ+CjMnKyyNxXVHzArs2C+EdvX6KGpXRDx96JR0OhQOPgnUpDJMU9N4BAV+X9g0PMnlKBqf72
xjfBiuJ49/xnKB3sgVWahs0kkjdJNSIlxczSqsAB9xmunfqclKeal0VSd2V1K2gXiP/Jwr3MjRT9
FCxjDIh+7WbQT9NaqcIGYvY80teqPvYBnq34jK2LD5Go6XKFkkgsoDO9XXqLId5KKN2kZ0qYRudl
c4GFeKKB/un2wTvlSTfR2aEz1e4N+xUxbGxN+9V9hlILtkdLFtwzXz3WxTUSNbgvm9I6SNwgsEkZ
9sUMvjKeI/7pEnJuzcVjejfJQnu9sozLaLLwYepbapBM0AUzQgMt7UfZIu6NddIcIVuI7SXLfyfC
og9FDV9V9pRwwGfBaNPtoA6TcGoFHPzJc5QeeXutkWBLm8njv7aOGZCSCCVCPNezVefvgay5HO95
8grVS+MB03ym/qrA15S1U4OqKah+7MUYOIq+A5RDO6jGhB6HTNnlV6VghGG+ZvwKWHHlOVWSGZyy
9FMTXDxsAZh0sn7otY/aw0npEcERNvFL1iXyBQKXYvmfzyNJ+z0tajK8qj35sdNxe+l9YLkKY6gB
+Q/lsmHH6d5ne8PmtBGdSNqb+rBmuQh1A887qlAQUpxZlns2/WuRfxfRwizfOfPMyF/3CDa61OCp
QPKwz8i7pTnQmwUN7CAyvenQLOoLZSQk2dabcyQ5pQt0athS/ktknLLDVgnEDC6ZvJqib2UcCtJN
1vEgTIpfSz5F7NvpKzQUwaYHGoVWEQUcgx8JUlRz0IqtFTZI6I81wWrNUlTOcXlmnJHRLjfay5X2
0AACNnSYkXAIyoyuWIaXuwyVtup+pdbeyx+59JCIKRNP6Ixi7rWoQeCNBmCFnkQxt562qMeL0dqM
9RmsgUqkwpHSTRydI1DE2qrWwa6ghFDu4aTyCLOFGKxmYr92ET1ofDUO11AgMo62m8Kuxu2gi2sN
zaHR/YMtahg3vRJnOb6GsP1l+5yrxxK74nip/hgy0/z6yIGVndjfa5W/h4muof4ZqbjM2y+Z1CX/
OSTdXA4gIgp4VpmqDd81WX2T2YraqWaHMwnWBYPQmnQnN7cWnD3OCzaw9Jp0Qv9xdB7LrVtZFP0i
VCGHKREIkmKmJEoTlMITcs74ei940FXubttPIoF7T9h7bTU+Fd1lzr8Qf23C6q5ifeEJGjrrUGEb
HerYi7rolM1njZ1ks64ppXthYGPfReSNQBiqw695nVGqgMRmQMrYzm9RBxkQr7i1HRhQg/gP3vi1
OJ08AS+eJtoVJiBuDjSGtR3I4Is4n654D5fxwkaOMKZwZHvhpT30wH7kzWEu3U92MUa4UiKvlXaG
Ee1hzajhMZM5NIr3KvyclWdTIz+nY+gPhkWcIstfGBMcXij5yMx6RyJTFfi58VmhURtYuk1YKEyO
N4EQS0YYZgo5kFpFxdkprH6BDcqDHglcazBVC1mIiMBrTSb82HbYXEoNlBrZozIaYOlJvGMtgzRC
ZQjqXcRDwuIIwhDRcOGWXRapjrHidcp3HuEWR5AUZwdh+V3XylF/L680B05tcUnL6KON5tCgrWd0
r1TGpkf5szBwQEKI44jGGZwZ8ReGp5ffJdc3OjCCvl/ECDnxsNcj40VFsRkz3V3g7nYqnRGJYaUK
zfgYzzsRMnAesaTBltLQKKVJi/gU5ahxXSz0dlHhZ+yxMt2thX/jQLEiMBRxw1Y5NklxbfR/PMi9
cBnQJmXMWVlZhdWfyuRlWH1cJevCXUgwSV6/ZWFP7AxbHLl3uwa629kMAy+Sv9rpYQQf6MlSejkC
bTtjlY96MS4UtiH8FIKyG2oyBTpHb87rT5rSJymNYAsdf03uYvR/isRO4ReQJeq35pQQUV8T7UYP
XdYrjKjHyiPN743xl6vXRvszWFDL4VnVxk19c5DcwgaEGR4VZ+BiElS92K0wj0BwYT7iMWWg8QkY
5Dc9FtQFdD6ccDap1zTlg2OWLzm4SBXRs2LA0kQqTexhELyjkJnvUoCD1Ai+VLwrCYwMKQsOSRuh
u10lotaO2K8Q0wNyaY2BuGH6nXmswheZWL8WGj/8+/Y+Bm9EopGIwcAimTkrZWAyul2sNZSKHE2P
qDVZ83Ym+Y8spIk9nBY03j2UKgb42GtexOpfQO+eTpiScDqyLg9Ee1QCr8bSqfMQtzKDABBA3MnC
jAR8/tF6PPMpyqF6fWOQc9F4z/NHnJ1GOnp5Pc0INWOHhDDsnGvv0bqUEX/KBnb94HBfDOKLTNgp
l4cFIIZgWaF6k/ToahFF8VKTs+aALGUqC5VUI5h3munSsiWKyQ5HFCZq23YvThzIcUh2X60yZvC8
rIT5RIBG67F//hAXnlA7GkGljYjQcHoUcIgK4UuBRpVfouZjGWrYpj+F/o8dSzhbbgG9cRFvg0E8
J8XxqGF8eAn3E1rHlM+4HnZwtlwjYnpT+FF+rCXm69prVKM5S6Eo9gI0PKCI0rwzOSAq/nX18KHk
EsqTj2qggCIhIT/1Ez9vdZq17MUEJkJM+HwbeJyBFg3dwdB25sL/usOdofVMo/dckf0Ep8ObJLch
xtCKAXfnsj8072JsoPdq3aa/mCHSL3QPzEiU9NE0fPrMq3ay2c9Hsza3AtrogDDTFHdqkbH1Qh6K
wU1ULqKIs80fDAKECSv4VjgUV3UNOQSKehAGC9wA+TbgwOlcu4uwfJv9sfIrPGCysBujVVOwArhP
SnbNDdlrqaA1Ym7H5RGl5zVpUOfDm8P3JPpmU6iMl85iSAkvFQRK+GFQNle8u2EfkGALAJJFSgOj
UsTJn9r8mQgLMjBeq2hz6lxcVzWfXX1SiSsmqY/3dF1WLsY+NrgnGoeTeua/njOiyI12kw2ym0tc
fsE7O7S6/u1X6fDL2EMqEI6t+tEsb9Nyw4+1y8rdUO2wu6/fJ05NenLpE4C3j3kp6ZkouNTUfUYO
kI0dtWKkkUWXpccIqzwGRFaDjOfQHbQz489omXxdPq48CrgpKTmg/5ioBr3otRzG6uDjJ/7IIssW
A783MUx3gW2K3oxtfAXoJtt5JS+9iOlWad57a/KzZgtVDpi1iQMJmhojDtMisUXf4wsxh+uqeEG0
Brg8WVamjKZrHxJOhPBrlB9Dz4kPO/1Bq8YmaaQXqnaKBK0ku5CNFFmo4Qiybo5Z98yXmB8K+ck9
s7DixY6h7ypnaPdVty+UN8jmOAD64SUwAItA1JiwZ8DFtBgikU5CY8eqjgGHydy2OqJNktRjjtmt
z0FnnLHSgPYiVD0at/xNZQHGC+OU5Io5w/0RxPwVfa+BmRN5StL9dS1LXyif7w2sT4nNPW8kZA1o
/Zw3A3CjY497OkwO6AtkFiwJ71qd8ORALT/yZQT0DYrAwFNVvAQT3aTx98y/6ElpqUkmmTBUmNme
a6wi1sjDNNzvSc/W259x/J6UF9iRFvUJUQLotxsCWUt3GFGGkgbw0knf6irAm/xW8quYQozic4ZJ
WBE0SKwL5rP41FQur7VW+p4mU818Nf2BLippwF3cDeGgT9tU8fg00wNO0GBkRlD4zTQ540iQ2fws
e7pnQjfUSHNjlARTSUynpxBb1L83A/LB7wxETzhR9j1n+bdK9zG2y/il4h0mNX5sC8cwbhThvXiW
M7/BfxskiqdU0Gn5anKmmJsCLYZB71OZ6EKf9XzKJUjJ7MEHzDkprp8kXzxAIZt1TmcVyl6vbpm+
XVXMGTeKQN1uMG0hVFjNLqsUrJ6RwJs/EtBr/CJ5fOzLE5CRjRKvXK4XR4jMTSXsl8G0nUB/opzh
6akRdjJlQtSTYosITQJGSI0wk/3wUXcb1bzWzA45iIP+r3jJy8ArC/6DTizStwsmhUkH4Me4h+6n
R5T8GCf2hBPr4Bi5EdvKMrqX47dUo2JqYlahYBR65mOq38tnvGRUS44JqWvAMiY240mn29MVSm/m
a/WKmcpSr9c+6yB0NUl0+xCHpzi9V6ik5vCjgz9F4juchYrF1IhOACWtxT/H5HspHwmuqJG4lGVJ
Gbvwx3K7NMil8u8hamiTIBuUjKo57ri2STt+z7uVBTe6OuZbiZQAq0QZEn7FfCKS8VrzWSbFCAOW
TiXfijLozSqMia1mCAESZkA28Js1yEsVY6uyJJxWz1nV+7hqmKTMfmOdlVY9L9NJKDlsWNFLUbnX
E+MIp8oMXsygf0yVys+ILYXEKHfpi78y8UUFIcLiOxmwGYMMQRVQTKrqJIJjbKkd0bDH7N8aZwQT
qlafQMVaaKTiqkuINg4uSBZUIT7xytq36woFjzwE3Ql9ochF7c9Y1tqD1eN1ccfUXx310IIoz1hF
WTVpLrAn8F8Xeyz96sCCMuaQ9xdY2tyHcPeTuz78jNGp1LATagYzNMTwXeb06H2SgWcu3EkVs//S
lkZ/WGYgrCfCwyesr24ce13F3hP4Eo8o9bzyEB4pjvgNzKpvPgu2gWbvlazXMFr23FSvGqZgoePR
9Uj1xgG74vkTptSnhdp6ZBUl/Guw6feQGQ8V7whzTq7kb2dkI5v+2F20TwWCYrcVh0VScUsokjvN
HA7xIkOaeSV/Lq3f9QYLC8q3CvB6SMmnGNpW169WgkaXo6/mQZyIFsn+IP6OX0pWemnORKJn/hLk
9tAzcrAIDFxJ+HDoGK4nZPfArnL0uabzRF4nb4tlOoK7F5J4Xx5kCDwSyNlMagnkqug5cvZmZC9R
DAp1BeNXZGck7UkcKSS6cBaZawmd9mzkAkdH9Tcxs44TsqJ4TlfRh4nftZ0gaIj6vppXx0zJesK4
ZxpTJP7/gfwhSINuVIpQ7tZRCmHSM1rlu1UcA/MZ0L5KJdvlg0hoGLzE8kRlbBYXrafWcqr6M61o
DRNk7sm7zjWlI8/mt8fgAQVnUTsWEi1zOhGFdPCj9r8qwQQ9WKeqn95FMHZhonsSFYh8jeMnyajV
U3QfGX3f5PMvmbONU6Af87hiq9rRck/4VlobsZydj7vqDGtT+O4zXONO6+vHDH3eJvwiY0Pxxs/Y
IoR+w0eJ+BNI2SZ6UThL9yzN7iabBLQd7IgxVGFA/IlwYJP6Kt76G2JIGczXNmHASjPNmWMzJxkd
GStisWddZIKWoXpHE+gZvxjwlIPJh3lqfqgJBIpnV3xjSsrinnLIkZiB2Di1zX351v3iIQkP5rb7
mMih2mDwDShouTYxdXPl2qteHQDsXjfc+NODGDfvONd6nbGXTcDuhN/BnV8t08tdlg06nnRH/Cpd
+XvlXW8bQEPsyTf4wTeSl/3AgkmvIP1b/vlrXjrtJ2NW1U25VS4Aq5EdMclxmbopP8MuO7dQvEl2
Q6mouWpoe92Lgqd0H0loz7xyc8QRIbtquhH3+NQTb/gb/KZ1sN+Sd+4Ib/EroZhc8eUNT+3yFN+m
ZtdyztI30uRRrjxZMtS4o76t0ldfCZooIgQEf5XPL3s1Tl1ls8Wzho1Ao8hb4mzCV9Q7MtMiJxcI
hXJYfYvTlmJN+gaswx+lIpxQ93r+rZouNyL12yK50Gt4OmL9kDYnUGDpQUZ9g26UO5XaKf2VBi/u
QdZzxOKFlklI2VLTD3iImRjgk2mTY12/xBiRGtxZ6GKddvQTBZDYNpi2Hj9Eoh8l8Vbou0cm3Xnf
MmM76PDoyAbxRgawmb6nJ0a5i4LH1eoJEEdmjwQ3gMfwCA3j4Fi/WkoTmGcDZgmLnamSqoRVQnob
Ym4hTF8I1nXQNVrkag3snTXYWpMvag6Lpncz0rpnARRR+qrFX0LUEfXV8u7NZ6sFugc0q6ZSDTkE
L2YDE02e4LZAyOK7MqEGfksqzk3sQiqpw2zwWsxUOp+Qqhz6/OQNuF1iPiBMUtCPTwl5xwFCOXRm
618yxm9ZQagBGulzpjIYwMKeFHT/q/1qSv0kemmKR/LsxlOGDQnCQbPcunIPzWaKz0vzwUYua1BO
0JYvdEVycWG5kGcGOmAmRHco1wyFOK/JKMWaZ6YqqQmnmlFzrd1xBuOAsTr8LZzCwz8+tix/zprT
pB/LyDiKoqlhxGZEyGVU1ico3sq+9pVIuI8YqLEW8NOUDCtypOZTQ3RF6cwT3yIencafassbYvlO
zKazHlzq+Dmn+5Zae8ZoEcSk6wQDy6rgt0DpYw3aQ6+F2cm7cc0kkBP8qtXakTzXESrfLTtQvdou
OlCjRhIdMlW9JBgfilEf0VHjll9Bb5xtjEsRcw76H1ZHMmxmnVTbHW4lRXPnAp4/wkYK/3TDeYyM
bFWkmt2PaB54iTumFGhHgw8p+BjauyijFkGNd2cRMwD3lQ95xmutf02kt5hHlQ83FB8peSLmvqb6
TG6DeSzHc0rNOOdvuUF+A6O0/mDlx1zZjum/MPulM2fWOxAuD8mrPoU9swTzIoZ/jTC/eiWL9ZCv
hyH63L7iHEQODU7czhcSbdnoRR4YwsVHrLERa6yNSNPTawHrYIROj6NlldiksYiOU5BKNwVnoYvK
yaos/Rwa006GDycsmg6F06R+40YbQY/vwlSpGaEUQNZmUKpDvYVAys6fOd+QrQDxlm+Qqi1fo9cr
oUESZumHScNtGVfaATeGM+oHi+ZqOnC2MMJ/KYwTw9NeOEyoQGRJ3Sra3UyCJ2BQv8r0h5L0HFus
CzpmJc4klAxRcR8wXEKLoGfUKRE0YKaZfI9IlMx6rPEKZ7hDQ7cjTYlhHEpB6w8G23BFfjnrZ3sh
zVK0TQJNXRHt6sHRTa+knkb4THLZT/OU6PUIbHKobuPv/I2SAt938wwFm64Yv80nWLfWdSbJ01Gt
4RDHJvKLBb370W/VJ0lD07EC/9S7Be5ehiz1juWs/MZUb5RhUVGd23x/Q3BD5IBLug3Y1xAqtcWv
GDAs+Be+19+28oV0J4Wv/aOXzqRTxW3kAyQQjXuE3GPdrsHJ03nODhHXlUdJjRExv9eBgyASWT4u
jgNEpmob1ls8fhwzLOe8BTDVG/CTbN6bnyospehXwvCIlZDyLtnqgxeZgO/R3m9i7Yjdu0Zf1J9n
eiIdUJElasdGsQvJk4tf3m2Y6bRuVLCLTtP1LU22nnsDtg+dPSmVhhdr5xlmJWf0aHwQVEPdt2MC
i87Yh0pB2nE37+V6m4xuGTDe4NboT1aGiMtJDHse0Bn65gKJwesXp0Y2FNg6jMiGuChEP3lY1x/g
5PrEoC+IsKFz8aiXQfi1DGpiLJLaa6jgNkc93UOfaJGrZgEFQVM/iD5kfwXxS2u2WZcf6lVN1FsF
2N2NwLJAb8KL1wfUFxVf1UrmGICVCoRdM57NLSAGIaLXdR/KEVHgMr8v4uzXOs8UK1cJtdqMQMUw
yFSv4IyyiGOAx68vnCDghJ/M00z4GgJ/W8/RnySXRUHvhYuntph0ykz7ub5M/b1qJ5acAk82XVX+
Nk9Hie51Rf5Vbf8qt9xMldPGBN2bboBWTh9RH5yUgbxnxnFXU+eZYq81MG6u9cXX+4HXiTaFBx5g
H9vgz6pHdEWRSJgRQIbsVlDApIInQiROBWWjzDsphiRCtlFavlY8Z/K6AkZNJkZ/U/ytWGD4mBF3
KTkaww8Wng6NhtbeVRrTIq4PYlK6OX4kJXgA6zCRjCYY4lIDPUhlKi4R4SAC31RJ9Rqew6EjkJr1
jRiUL0FakSM5Q3NYGA+sG6dHoiwu3KfzIObAm/CD4xINFQR8zSkVsZWIuXcrNL7DCXRYgH+zY1RM
f8AAi6OUfWS2H2DVztTeXI7tgJyLSqyiH+cVT1j3h0kIw4niP/maQZhb5I31zXfD5TQiHVimgm0/
yi/w7kNq2ix5qDX+qZR32syn+QjB/JsqzFgoeR8FiI3Z6bTWLhMk0V0VvW/7pdj1kQwUGc0YdmgR
djsGbinX3RBoY6wae7HReL/nc7kaeainw2C5RvxKzZj5zA8dpqGXSMNt0cA0ivjyEmYGVXiUcR2Y
hGVUMNUkjSABpnckI4/qe2XeKvMnZibnFA2uxSw9WDOvBSrWPsRjUTUeI2WE1Qq5ywU+UNQFTwvr
QwV9KETiVLKUyCaVRR1+9xEXdEJ9mYT7Okpd3uqDHseutpp/ZcTGETNzwoBKbT9NFHVkVxjUDKZw
WjA3W8zSexyZ8MFQ/AyuVPK2Z8JWTysciqWER3yrOkr1Uyp/rYhqf5IeSku0Esdf+GfGJCZgLFaY
Yc2ciLH1b4kNkMNrYwLlpL/HxgAr5CPDxKnzgzKDR4zijpn1DKF1JMpXxGC0CpnMEnVex09iTjZC
+MVTFjS/qcJZla85CZRWbx4EytTkbE9YWKxtC6g0jjy0tsSP2NG5xzI96KEn4B1k4LExWzlkrEc8
hzHs6rW4Q1IgSoEtL5kj1C0rtkODmVDITM+SHjGU26F4Ruy/yu+6MGxh+lP57VsuAw6gmKs8WhZb
pUYnI4um7qPo/wka7njWOgUdZ9KtAEqTVCpUodpOIRHDgEtT4ooVaiAhiOARf5V6dFBZb5YLUxWB
zacBMyY3nAzQXR3uwjE9atOLgtN8gbHLEmQ3w9tu1yXgatEXvaZ0aG7P1BRGW9/C+DCUe9WExBaw
NUb66DLw9gdW803LJzst9NQkXRo/M66H0tQ2Bo9whJ5qZu09DeicRqp6Gef6EkaOEtNntqXXcp3H
FBTmkB4JMyQmc/VJf5HX4QKwK7mlsgbJiJQa6kGOxV1WR7CtaDFHDjQzpakQB1wk0r+Q8p1EFy+C
GjB28ouhXZVYWLPMg5hCYNXSL35UssxiS0anVn1hRq0149ChzsDMEBMk1RiYPEy0vB2MWbG0bpqU
aDY6AkyfBsu2KqF9JDmc74i9mOqJ7VNk0KXHF8yCEw/GsOuLWyJuE4KHbaOL4ckg9dbTa6BqH60K
2SRr9G3fYVc2xn+NpqA1LiaMGXJ/mVfMArEBTjSLpzKxtI3VFV7RaNKmlxYvS1AQktQMgJf2cNbq
XyHKdyxZmN6NdWsrOXLWJZBSxxKE1OkkwkMmlbanHnuMRzxIqGOLcWaWwFnWZf0jZWG61WsMvqRd
beA/8GGdjdswYLfVDPEr7hVEW2qGlOw8tamxz+tnO1UD04yJ9ZjQHhQCAVlPQtQ1qbRSyuOoS4p9
OQd3eYq+irB+lTWsPEElweQQfCm1eIIilyhklgCD9S8S9O1cFjMdYQWIhkW0mK1vNCKoTs2cbGFW
SeSjRzDztkuH36U2MjeLsK/J5vQ7hRULmZTFP3obeQIbTh6B1FDkt9ZowUoMsfBWBhIW/EGi6EXN
xGT3SrOE34qiWp8fKWsKo+tsTfpOxlONSV+gtERxMnTEa1JjZRhckHUSOQqdxRJ/RPmAO22l/eKl
QSeHypCq1EiPE8t7JMkPgm4M67yqKCz5N7RONRodtHXtRPtgELdrgW+W9wDt0cOhcBk2rAURTUkR
/tWzZOzKeAdGk5EuKEtqs2rZM9ejsmMj2QkAd2H9Il0nzIHokshFQTLQji9r84p6Shx588+UaAle
GViPKyWbd/FUYD6sVhB2RHCP9KeK246Ndc1Ks7No0kjWBfidmW8aoaMdOQAlj8D/zndUIgoOdpk0
1foeMo3ssFh1/RXFvng1QcklveYnwb4uTs3kARtV0u9m1SeNlbcmcDpichEEkhH8Ar2KxT0mSjh1
U+Bm1nG9yeTXtZVk0M51EGlfY8HW3kQaf9QE5bWm4ChQoxGixFVUiZ9imaEia3QvH0yUMIPwzQAP
q3NLoBDpFA3wHh+DGWLI2Gx/O187sfSqZCaA9hqFPe4w85WMlDmZSjS8tfqepE8huQPvwH5Tbzx4
IVoNdBnhOCMrXX9G1YO071l/rMO+BfIEKbkVBc9ESGhs5buWRJuFE15sbwmjMSOJ/AbqgBuifDfN
EjJRqBxFPF1BWeLtbQH/v+J1jKNnHf+rk8uk70d68RoXivHktvKTLPJX31Y6oOaJGkeods30nqB+
nJCxD/LLyHBX6Z6kTGwI3Gn062ryDGNfwgg72B4IgHs+nYvlklY/jKtbhVkVnnORKFQZWPOxIcMy
/McyWdfGc4MYjsWOfjAnCVVh92mkyt88Nh9WKaKvnn09+c0WYCf8GwjLedQDI4nQRzQYcAubQ+8s
1A7d+KaWt2ltCFZJc4KlN6KtKwPrhm8YYod+XNqYMNgebI8ksLMVpyW96cKPyN+2GptYCvC7p/uF
z1BeEm7OAZo+WSV+hOoMYjw2EMJLsSBABtRw9pORblS9005HdMWR0jkTxBIQGgF6ce1KRXlKrHOd
3VOoxN06flQZZkbCa8cUvMZGCJPQgvmBGF8Qf/DbZRJUIBPkP6fwuA4RVcxiCIO6G6b9Aqz5NP9F
6UNOL31+T5cYr5vmyPKj4UWv/3RMHMK5gT5Apnz+k2Qfg/UaSg9VbhzwoYEGr2v2l3qfGahwGE+H
C26hQTjV68ck+Nn4qzefqnaXq4uwxnOZMPEUO/HqmtV58gMThvPE2Nfbpn1Pepz2wneHB3+JRM6J
Q0DokvyrggvuPwoIpFn6OXBuiWhyVRR5Le2r8kr+uJeRdKM09x7RgclgFcCxnh5iFAX6MBQA4SRo
B2SMEK6ExBg/zdw/xtIDY7PFm9xmDKR3eHFq0djjQ+jMR5CcBHpZtmhiwrccMITgO5Wz2itEAfUj
9DcAW8jBEVLF5Pyy68HcKqDyiL9KzFEi5oxO9xlUL+WniecT5mLN+nJvBruc6BnCaBvW044cugKm
IsuREK7nR4gpHo5xA/lFziQdc2q47ADmkcmQJj5/IWAWQRFuzKGrlx6UyFrx1qSzzGMbDkMMSXkX
7K16V+d/Ep0bis/sSbbWlB8N4pXSAzvKOfTqdJdScjR+QlrLxCpIMb4X2A3dS9jewuHXCQq/1+N7
EO7H8SMVXb2+KBSMGi8fGOTJw1HF3BxfrMBnNV2l5Q5JJyIm05HVQ8U3te6JJMb8MXdnxVO6NDsT
jp8AHdJ6VdGVFfyOA0ZJ8pBLZWdNXJfVu4QVRiFIwbQpNOwMsX7PDQ6EVpwA3PObsxuZq1Mq8fYc
Ij5uuXoz5H9te5PXMbdbUHTJ/8cbCFdFCM8bDzAdqxL2S+D8y3K/NriIyWiNlgCvvF/Pu9B4zNNt
Jp4k0drv/sAChI8tioFzhijlSIsCPCvAbQ/739Esr1Isv9Qjcq1au6j0cFjizGnXJ4QbyM4g3kIk
DWLyFukssKlkgSy4aEiX8IufUrGOQS354ozBfcI//orz6FG9NqZr9ocCC4NCdCHO9r53RvFVBCSj
I/kmvobBrLjXuqPQPzQFqtWuswgA5mRDhB/9q0GGZ3z7po4VB1oVhfCYTJgCMCBkZXyN+bOEW2mh
/o7tUqShR45VbQ2R8nC3VrPBLEI9WOvWdUm075gyMeprcnirpdO1Aw8VERx3C6SMkCLx/2v4/ds2
wDvGrhib/SyzoYLqW6PtsxZKD4U1IcrrUiG71AxYjqL+KvSUhjOf4CAz6Ox1D9nkWF4APWp3jSly
uJiHjv0AGYZDUbgZR54i3nX2DBHhAkEQM2DUnTDKkScG9ppqK1aHXk32RncI5TMWHUO+tMOXME2b
llvc7YLuII/CJxszm4lA8oPUEZcguaSsufvhUwlea/OUVmhaZZaUeJ6xrefCVh61TYZvSCgst4F1
gWr8qI13LWQ7x2LZQH6fXyPpVvQHod2ZgSu2J0n02LOYXzx9TfCBpKAxIECq8EH2hnzNZKhK2770
syH3aZtRUQI/ukYVI1u+ok2i+6G+IX2e2OASVYnG0acclZDwXx4nOkCgrHieRJ0djtf1l3i6jpYL
PxH9fb4SUw+5jALRC6pDLH5Wwisasqpyh+hcM8uddmPn6Vwg85aCAp6XJ7Uuse05tNCxfFuEo8Sz
lAw2Aqa9UX1YUJ6H+MY2dt/RkRTjfhI8g4rY3DBkbn5X92dzHeufgpc+YE7LTgHoNupQlwXlIL2o
K9CVulC2I9otLBVE/ypHLboZuj/0/gy/DluxPGIpYYoDSeFYAjQwfXFvsTx6YMwZHqgeJsCHiBxB
s5hb7oZNeZx2awhIv8256ZLspYgJzUS0tS1YfHdbY73/VE+qtp26W5RXrr0229eY2cpYtSXxn6Az
+USB1bltyYgdNQH1eqJus/OMSkn60eYf8TX6LZRfmqLx1mnHON1yCazPfbwrtCe3W3aX30wEy2yI
3xl9CLBoJhslr6sXbxSu6PBT4RYnp54UdfM1YyY1fRcfeCEP/Khm5C/mthF8UT2vhAr0MzJorMGV
iQRRIdw4kfDk37rkV7Gi2UHgEbKMIJ2QmFTNzRtbO7SfaxwZePHGWZOWmdX2kqsQhlQpM+dA1N62
yGbwWpXXEAwrnS98jtJWTqq1if7yHQ4MFJfv4otOQk5jF6UvvDOM0d4Zt0/38HXIHTpPBeg/exV+
NdY2o7TFZESAM1YuDgBcqpbE2+ENjKVlu/9/18cIXLdcsGIc+pmzQhN8BLdguPD1KODcUG5MDh51
rAUEBpL3UvDLRg7bVii5vAhr7wPVDaEtukEHO0iUOJmE8moTviveYjDoxE11qKwdcrXqNVhDJFy8
W/RVLT+ruWk8khTFf47QuORpg6mwtvxwBT8i9+I6QXDyv/orgXlckShso+BtdgF0ytmdUQMTNbbJ
cCX/eshmQgJNX9XO68xt3siHGnAHOGyml1SisOvs5KVlkaJeFHOjvAsnHYiobgNoYAvNFU6IKaEX
YkYg0EZ+7WVvefRX1pb1PxMRgch3iahok7D341jesNKxWGI5w0/10Or1eQZMg1jgHz/Q2uEHDJrW
Oj87Kwl6XttjZCPxofV2uhcvyieRivztaFbEjxFRnAQOaJOBYocDjIvXRnuNT2pg0oXNadiCzeJp
qvfNtyRCT9lwyvFRUc8zB0swD+aOgKngnfsbJS6oajtPtz0OGmszA/WEaYlcH8Ihj8W8DgsZFSHZ
sbvBY6VSq6sG0gS/FfrGclsJyqZbYceAsVQ5/GPWusHfIK1cWxRWMIg+2avD2DXe0Tdri6e/MSfS
CEf9io8qrvFfdANd7eKsM5h8pdxBLIvZxFLfhTCrrjXC6N5jQ1Lv9Q+qefZ5+ZfhIYKP2IqygVjD
Y9MJ3DdtEs6CjdPejGfy5LIBGvOxvhaP+lNl+wLjgelZAlwZmxAgZopq4uWQvRr0I3xl7NboEX/L
T74Bqf/DNLOGoca4WLfY3TLkP7jSkFB94FWJnuk/5T18BQjb3XNiYzcVYlWSVNd2bo0Vj/eJ7jIT
qMgbtWBD2xjtLC4pi0Ke+eVK+2gZd/CKY6AN7M1C5DU4JIZjtPfJD+UUy7voSbOPJQAqHvRle+QP
56DCxuFK6Iv51uCnsXSQMOXzHKHU2qScHoz/eUaJqHkiG2JF33HT0aL8Tgemcmx0q19EDrzwN2qg
naVuMQSXlcdsy5BchC5jAsB7sw67bX5zEn3Ava//O0BE3l+Lt4pZS++QaUMis0kiBLp4gutlcqRd
QfWJu9ZTFxWcWHkoTxoMKcqXx+gzLN2Vv6lvI3XHT+eZrPRqL8w3SSn7CtEF5EYaNufePKBmurDE
awcXJsB2dbxNNggEnrNlOQUyvoqLlD9BdSDVVcmH44uh8hmUXaf4YfGSwkDtph+sP39ek4FeZ8dE
Aboo32O+T7p73LyW1gx5iP05NyMFVd49RIKx7QWyJNpnhGpzmOxbrTkp/+MYZglUMkrbWY2cuVL5
kDseGna1lzbMvAHd60C5Y1hQ4ljST8E3wuEenp6EKc4rCiqZaI/jR6jPZvetEUaqEMm8xPDAYH81
vrQm4rYM6lCd9eFOwZOsdx+9BGYieoQD0RYVKn5KpmqXhBejAjSObRsxV02X1C138qmYoq6EODcN
XqLxL0a1OXW7VEKoy7xcmwmM7SjTyGgyDJoOXDlZiQZ8UiJ2bQOzeympLwGiAyXs0Ou0WbvtRQpl
rSMIYvaGoeeNHHGDQhNRWnRRYCDKbnRAfsRIh3tmEFm1IslORXyWCKshG0Nm3Bpbb0Tb4V8eKLoY
/XHsi9Id96fJ5AOPetVq35UPKFVFBsQyqTV2LaP7bv4UlR8M02ygBJTBbPbM7jE2GFiRWo4h3L70
JvWDI6ol13U2/HYFYb3B1D+jiflPKFd+PgwfWYs8Xu6Rr2nxNmdxlQpM9NTFb8wKzxcVr8X7oIId
5+daoRyzkFyVBvdrbClf6Yx6SyGoshXyl4hCy4gV1gURSChSDnhEyqs46qcaNbVe4lVpM3F1A3N7
KZ/D/GtScedJYysLcL8m8ittZQZwzZQdNrpEl5yma0HBjOTTttGLoORXo55a2pkRLx/kmWbswKTU
DPGKxDf1BNNeAI08T2BiRyMleZWclzE4N6XVkwAMvCuZrfcyr7hmZThOOZvONMfi0K6j9ABKRTcS
SEc5aijMeLNa2Nf/MXVmy23r0Jp+IlaBJECCt7FljbZkeYxvWHGyA87z/PT9Uek+p29Y0d6JLYkE
sNa//iGQTIlVj8+fSZGqB9S2dZqIs/RyZE927YBY4MWodPHTbTBwgR+ZCbbzHGXgkM1INeCH9Aoa
CILqfJ8kdAdj05ifeqJ/gH0zeWGKh7KHRYeA10QuQOQDCBRCUE8aJI9NztPQvxqP9dd3sDVRTL3X
dYxBr9t9h6b6j5iLY1urz15kVKvQ2OrEzvcLtheFM2NHI/TOofdoRoIEbe+xl+7ODbJfSf3hziEB
y9YKEQNM6hoehKHeAgkbqS0J+igcHmzfOXu2/GIa6T00boXkF4OBpNF8RRF4B9iV2RgPe/U6Fpc6
jCiCQux3siV7QbIwKnunSfsJNAdfwNKtg7bepJY4EyEdYvyIyXzFZMdSA/JcpsNOUd4VPu/HZNYn
h3rdChevUsoOGSYs4OkDWc+XmTGjEx/Z+hfL9SeWgP9ZaCebALgYAd/8HSbF77AMv5LZa09eTt5h
jDkOSua5Gek68B4ATBboV5bpbM/xHwyq8Tbra+iRJtgGDl2X9uyWxYFiAl+qZOx+Kjv4DifvkhAC
smacANIHVF6ssmqs/vSkCqP3qo07QPrPPpx5bZJbAICQ6Xomn7XtUcz14yVoqTOcEtrSbNbDGVdq
zcFRdh1ICXo0zkh2MviaDKTWoMTXroPJug5Bqxhieoe5gjCQnBq1Rh+O1ZPXionQc/S12mfui8Tp
6goC6kHCgOpKm0mE9HpCajECsh3StgPDcRVW+HGFDHijvVD0Ul1m/ZkcRZfv4dNjcP40GT+tD9Fb
ugHMk6L6HbYBETQuXWBg4UwSdK+DLQDQG0bMEojNLWKPbKxom0AgHxcI3KZZp8sljqtj9rub/Dsz
d5/DnH86bfhhHPn+VufBf1k2Nk9C+me7DT5jv4AHsVABjekA8SV8mCv96DObJc4SPjEi511Shn9I
JPoqasjyZAnLHijHIcDSgzUk6qqAqYCbcFx85qoiNZIZcWHDA/W86WCK5TnuD+Xkb0dmzg2jMjGa
+j5dP27uEUQkY3nsUqr+GRpEYhG6UfkvnmwO4XA3eVSQfS6mB1UejGwAkmxKnQbUocyCPyGW/76u
DtHfsHCczSIxJampUPNC4a6kmF/B3fHjU44i/QdSm3DC0CPucBApNCQDrcoHVZXUhERdhLH+3QdI
sfY2s2A2P+ijOmj/WmVoKCinBTf0+Em52NvossaoR9fbrC8fCyAWAawhMJxdnLdI1qepN78SYhgH
CRKj4flhmw7v1as/3YbhJ/vaVzAX95U7/K0HZAXmJAr2jyr7D+vc3AKtamzk4I6Lhi/JswdpU3gb
b3meDLDu2IExuf2vyXGgclQF2cuExcUCQDQeyzsoSmqfMrWChzz9uMj4nsRtStv+D3OnXZA2v8Zx
F8rkPa6cHlMWSHyebJEiGEGGBMSdSMBWTnN0K8iHtxlzXLvjcGrV5xAYc8/uRCgWs2kEsTP+NqtB
YvSiwD92gaopB6ELKIFsLkQvWNikCSt45W1HiStaWvTZgtlr/40pUT27Q8ibeE9VDknBkhiYxpI9
auQgJxsV6xpJqjstgbbsO2oTSfSMhlsbfQiFOXo5YI1iYQ3r5oQKNC2B7IvMPrk7eG2HM75sHJti
fEuS5WdWL1c9jn9tku3yMT/1kYQ7xaYnG45cY2c/g7ysnsMQ4vUifYx1luV+pOb3nektya2H3oMn
kEn6Ft+46tFTbOEBC4gTLlwNjhFeSQcQHCWmzvX0w1ZQAmu2yok56L0QUGwnkx+DAuFbKhb1sr6S
wUAbVZXToS0kKIdtGJhBvZkXDnDfxTOhauHRW6H3J0KGaQ1ufleJcNyaoF+Te7ngFFkmo3s2Vbst
/d5+HccmO/eiexliNdlkg0ftWQ+zuGobMmWGQPsuUMFu8OLpp2rT997o8m+s/jS1vfVzHqmh1OFz
wU677WIp7izENHNnB4+Jleu1I/VwqGTTYFD//y7eIB+rlK3cCXLYM7LEAlRl30Owup53gflu9ert
f64FzV+g7PCaR0hYR1Unvwb8oespmj8Ig3+0W7B+r4aX4wsBbbes7ODgxPFbHQxnypfyWMtAn4uG
0HDWMgNF3+PRtBd3bzraqSEj2yeaXIST1FROFaPGYiTZFWni/3Ad82yEB2tpqLBSrcy81tGXKQ84
jHM8aEzQZM/emh0VL+TzqmL4dgB22yogDKpF5TqryoMXZIFhl+OS4xWcP9oRrcb6BhbLs7FHZiS2
Sd+SIJg/IerAxCSp0V6uccoRrPQ4XeLZJo2wd70jHET5FHcOsPucGZRwKgKzDElLoyZmGO28teHg
X7PY/y9s/HjXebjgF0MHGtEN4jvzvPBqRXgcMMGAoUsF9ny7dwS9XYoqdJkH+P/N3Yw5mcxdZjw0
YEk3Odsl5yyvYxWcVfxatgUz1CkV+fNSTNabrbHPzz1n06U57i5Qvo4E5Z0juTSnappbaIHoNsfO
tt4XNiiID01x8t2SvINYE2JDMLFo6/mub8y0saphvBu9ElyrX9M/KmvItrquSKbL8Cbow5AEqrQ4
TEv+ypQrey+bdLo3C8kMUWTlT3P5yoryHxO/8x+7DLQXm7hDM3AMVuFiYApy8cVKK0jT7MH2m/KJ
Oq6/gxH5ACVIfGuymkK4XYegiqGNiJpjwi3SB2+GB9LCQp5H2ZyEe3Wwf3hpXCrCSeAVWN2ZPm5e
3JB2uJLX24tOh8g7W/8P+mMS3Wd4wXoEtknex2ycP70xuWu1rY46GrjFnhO2Dy0H/KFlbnC7PTi4
OcD95ZCCS2pxX7HKTtn85Qye86b67t1t3U0uGH+KwN26fVRf861V11SbUdJxYKgQGw0Pgl5sbKKl
pvCpUDxSqikOrYVfQNpTIOkhnAIS2PGBLxN1nFu+bmKAXctLzk4zJmfTlB1K0vWZc6e23NhjfsyR
67tLH+AA01+9oPwLCYgjMsxRWNTTHH3kqbhAqJifi9gHUrEC/baqZIeps6mtrafbXY3tAVN6K34d
rL459f2gH6wFAkkLQ/DUzACUXbGn9PiFuGN5WzoiO1J4nqaYgs8y+KZ8Hd76YjqOSiWbaJjC4whH
dmiibCPJamB6okCv1gclAq+wZzsHsAfHMS2ym8qxHxuYUXnrBNtw4YtJ6sAHnCHvIKqG726s899+
pD7MCoTWU4JOHAU2ketUN2N7niPqEjXRCw2Vv+xgyQVbKZKC596I5jTJ7COY0ES1BWgyrYz3gOyt
vCaAYGPWvWpHVi+1g2JaRnq6FIOkKRY1xBg/yUmtyYKFrQeRAvjpJe+YTyHX7h7RVjr3vtVnOycD
DnJH14d6apOBJZ1TMzXqZV5/w9xMzNKkg09Uy/htvXQUWbtWWR+277RH7XaQSdY/hc781KamAHE0
MBpcOFelQ1LLMiHhpwbHhkczHRmbqD5lVE+aLWc3FhpjviGnhIV/lgWKWmSeXo1b15sALvhDYkEQ
6vFsTowUz6sNaVa4INnrpVOklQ8uRJYYXe7Zs/htNUODxdB+u2NUvVkTow/lNtseL/fTLGyitiG0
+l6xvExpvOwbjzc3wq96qSPsoEa3+G8M/wp2wit8heyoIVb9SF1MClq3+YWhxV2QK1z8+8h90svc
4n/SvNa6ws3Oa62fWWDgN/jThYnRr2R2GyjXXfmQ+Aa0MVHA0ZFaioe2hNOTRVWJA0oIg2Xxi53l
DHRWPrBTYzdq38REZC0heTB1UyUXTkHxzPt/d/rZhtnSx9uKFviZ7oI0x7FwaVFjZ+s6NPmWkvMu
CwIYw10GNTuOiUHNOgqudCC9N7HPC2bHz2lO1W53cb3TDS5ObgKFvs9DQ/qMGB6RnIXHpoYp7Nte
8jAGnX8Jq7LdWpTxP4alJg1rZk41iyVHENm4uCp3xA8nBllj7ufh0+2S9qgu3R71QN6Q1XlbC1kF
1LxQnqogPN7+liVbbKeAYWoHh9rFBge1Xau93i6IzRymgKs4Hpg9Es5bUq+0JaGIhWb0YPXlu2oo
3gxqhn3iRYxD45R5vaBycyRyE2l6GxvXBMZogq/OrFra1og4Gm+pHpTmzQ3O1CLtnV6SSs8n5RQH
UdTjc9oAbNZldw0Lt9zbEeS6tAs4znsI2X21wWikJZc1jvbGzexvZldRYuJ31/N3RgUKimva77wh
mfbG6y91R3RaHzS/7IUJnNfvMTwP9+6Ep4qJ/7O0Y/aVqJAYQ9K6REGGzmzhc+a+/pyHRx3bDV50
Sv676Kl4drMOM0ARyy0t4c/RBz33dGD/bJEbOrY1fy8z6bVKqbvGH9wPd/VlXMpqPOVN0LwPGAvj
TzaILj8oB8mav17MmL9FscYde2yCg4+Xx+H2J9GJAJFble3mEJ9400MSBhv8dymmholemkV/deAs
T1ocEWbu7EB8uVOP2BtXVlZsbB3X9B9YxB6JPVyaefROIG/A/uMKS2QLPrT/s6lQApPul3l0wsWw
Gj1ZWH9Otjj8O0w0pm/4Vu7ycGGAp8MmOfomZWxjALFwQaExS5zBPTqhdI9Y37rH20uTJfG2cTKw
kaI6qfUisjgDu4thL0d5P0J18x+HqkSAuDZ8oVAaJwhQGqUHfUog726KRUDv8rD6hoBrTdtRoi3F
0jArF8KSRDWdECZNRM4E6Nd8o2GnNT3af4JJBrbrjYWJre8pkPrC8p8l6QHrC/Cd7hoNQ7urzZDc
VXLaV4HfnW7FZy0IHYXsTBMUDyscnxP2upbC5cCXW3XX2PaJpgN+8sMWf8WlZKw45QyhSy/5KHVG
/Ah18hbkvKsg53oCQ8LKIAa9vbSwxN8PbX6uOt4kVrHUFOtdo6f8/y///huSWK+rEYnMAluoEffU
dsp2y4LaVY4d0t+1bFroDx7Z3KheGfn0g4TwJ7GOyl1MOeFjO28u8BdvKYE+VLR7xbH8Vk7jKhlS
x9LqLwbq57bLK+/dz93pmJEpdzI+sqaBCa3IAj5yNjNHTJGhDn180L2hCi5H0OokLjADDeM//PPq
R6ohd+e+4IBJWzamOSKGA4PpH1ZG3MXkDruubtpzqjFjz2T0ROCes2YbiUOp4NkG3bVeZgyvQ6eB
uNE0F6fOJMERWI/zImQnoCiyvuqibHeL6HkGYYn+LP30tNTVQ9KFORq7wn2LFTHKnqOfYZuDxEfM
cgaFGVTUaSLRitUEzl2CXWVpfBQc1OPCzaYX4TEg9Il13UcGzaZKRnkeMyRapjt7QcYZpjOOfBer
zC71+tfY67dWoZ3L2EMksoem2v7beeyBpw6dXRdFj6kR1p1fd/FuyG0mWhZoiqob6zEcbevR8sdw
P2fN766lSwmoI177GQBe2jo7OcpyUAwr9iFBvZFG5iBjXMHDg5/OyfOt4ixdHGVBdmwkebTPE3fu
dmL7rttCIpgwy6j0GinBR3pw7OEKEsQwJYQf6a16RTUjB3LAATdLHaItEa0xO1upY5yWUHObjPBU
eNZJ5tunYnHx/cwkmZkjiYfV+pJzb34MmI+HDUlRfY/NWba6uSsvH0kH84L7KB1yrEN6hYZCYMTT
yTzH6xwnFRJMmHbaS4oOSTK8E1OQQa5wp2+vZcjazasHy1rxu90icD7P/jiFa86iQctwu/GJ6H4X
Qp0d2VpHEUfU2B6cRGihc4lO1Mb+N01rbDG8kq9gmlel7O0Dqw4a6m1rHf5nf3VC93MQIWyqmhK/
dPEqXky7CrM03kiRfYxt89TX+JTd6gF/Nc7ywcnvuzi2TzqbsXcImG16g0jI4Wya8cGK44tAbG+7
3o4Y5RIfF3qRui7+QpY1O4vaC4wklVtj8py7F9nlqWinzVziwVMszd//rQX71KUg7Pr3JMBrvQAZ
PIU2TVfm1O697Bz06L3PVLWkmAgXGR4dlHWbwGuYzHbD0DF4YOTZGFpqOqxty+N8mKTW9wrJjp8q
9PEye9CqQxWVMHOI5ID5Ks7VqAZFv43T5UyP2V/sDMVPmXMboiWiNVOKmHTHOkRz9IWFMCztPG6e
kzp7CiZi4mIO4Pt+0p9+vkqh2+lJ2iy+qci6L5cp+oDjBjW2/YrbQ/acoAoDCu7CoMHjoW/IcmiW
fbLAS5GhRySObSA4KCabuHdDVo6e8Uz8FdF86rCGt8yYY4ff7IiRHvRvOzDuW4WrOzUV+culTbyO
Ao6FVUJsEtiYim3qjDL0wLNzhxVRynm6WBTcSa5Y6DEVyQ/XLoA/pUsom0OVeoMtYCCDVNuPue9C
ymbcs5d6xCq4jZyjTKV97DsHoV9Vpw8hUM96+tMzRN3bEkZnlSLi+fevQCU+p7QoLm3N/1vYUllq
fe0VuxoBPLJC3rat4a2bXsknIMq71Ib1OwJd3v1r76oeUuttwS9IhQ7AQPu4ZQdVMvbu/z32rTvd
u/OgDiliiX8NNTZBNJ9Jvr+dKR1fzKZcLUDlDzMhnKuceLw0MfxHJx4+k7xVHFg4Uc6Rjdm789xm
mswhkEFa8QkKf9ZN5CHh5e+tjX8kUqzwmCTReBHnY4rZ3/ccj76U6imI2ujiQ3XorTB7mma/fLIt
o+QOqnN1IFVjevQsMtD+lbjNkn7Epnn7t5zxE8FCqiXgeagkSZKO/4ZggnxTjup/x7qNQ/iUiGFr
ORZhxpmfQ6HxIfGAmRHm3LQHYJMTqpBy1/YUure2fBrelgzr0ml45kRrnmO6kUd7Dg+yJQZxzuVP
MiQjXJtH1kjTqsdMQWHOBhwNjGSNm7jZ++PCXMZGVGwwD3HWI0g7A1HDBJ7A0mp+6DI9jKw3ht2h
+0RLKNiRW+dg4kV+qFUxE8z7qshy/HQt+2T3MUJFLHjxPYK2Cv0AOg7/GEwB0JnueOiy7nhrLqw8
PP07l7yQkh7l72aqh/46V7Ctb3+3ldPHPCQAFt6ooXox0V3P5dslGDzYPDMpBkHmv/9vDeLMkvnP
olBtd1KcTMjuEWpMqf/t7ks54gNURDPxmOxEkWd/RlE/vJDVfvl365xxe6ta/7d+XaToN2pSZXNS
THAn2YtTv/7w26UZPXrXNTTW89LpBGuRqk5DKV6iqoZvxn/DscrdRXF2SdmXzyAfzSbpmNTeoAi3
16iMAR04wUPeXCCYk8uJGYE7184+96k/rMoXWxnHiHH68twUcf7slCa9mg7WOb2yzobiXXiUl1He
dbg6DxTTHpNiACJca8VHUSPc8PsC6avl6m7vzwxscJgbH2OMaOacFOTJmOO/IjupcRGeeWQbZb1a
5eIdRFln72z6+i6fDKnqtcOsBN3DLjTMWNtF/gwHgb1EUYcCL5g83Xtpz+C17h6TmgFDNjfuKa9g
TwSMjjapXV8j039nTNvOo4OUqvXs/KttcalqmLblM/nvpaj3iQpWe6vgq0DPxAiUXugGMFIkknEK
ifRYl+3p1tn3sHhuRQ5TlXFDvJDZ2mhudgvYzirsYr/MUwvAxlB5e2p4qgGBt6q0CNldXwrHvagh
mZ+M6gcUCC6G6HHrPk14x+1N0QbbqSxXjbmrjp2VnK0Y5KQ2ZfBYaNu5eqJ+qRw9MimmeAf+gd6p
xPjUEiEQs7GdzFhcY4zrrhE0ymaJ3FMpBkNge4vv0TopaFeOYrxSWqSM/B9xPXlY+1DkN0sHAnRf
1iTJdJHH1AQfQwLiql+3J5zKdcLDQ+EzmUH6ylfl4LpwouE/U1nyxaoMVH4VawP7Aj5xzwjw/nac
Lx4GK7jppJuyCmCKrEJ8mYfe5vZcOir4y+gbzX7ZhLtGIbguCfc9O6F39LCow5O9QXGhYRv6srWx
aSRLyJrxt5R1wNRPqoG4UcqiQi1mf1vPcm4gH6+hvVGWZXuFg9SSmOKQjKM4RTMcmUpTB5Woz/Y9
bO9AwhH9h0rb/tw8lDZGAiqbGMXL6Cup3OzdMbCTVJM5DObh+txQ1xDynTObNeVJr3l/sH/YeYID
wwoy/Vzm65R8WAUap78Dg54+FfXjXeEgLu6M2rhzL58sU/526rnmKOCrwdPwvBSq3sKjb7Y2/fjx
KYWh+wQYw35kLq5Q81WqiCl6s+r/GFHfVQolpbxtosW4pBtrJKYBiHq6qPZ3ZLnFrpttONYWFLcG
TTMxmxDbu3o+5yBeiFglDa8tpH6ILSclSST/opnPr9oSP9MULqrK/eawkISQ+FH46HVqb2o3fy1a
GF1h/8JU9Vq4hCCxUrHYxNfiKkwAhzOyhseoGcYnpsHXwbPnbXf7XXkoOqj8Qm+rFP/gTkzQwzL4
5fkYUhguSZ7gfwjpf1kBnX7Fd25/0g5UrcTxLmZCjkCrjIhtcBCWmcZxN+UEWWzRxMLQhjN0AJ/m
3GWL8918J9IiuB8ntG3t2l51yUTsBzAJRPZ6LQittSBcOj4SUVPTiGW7WHEpsIrxx+0vqszPLlms
CPGyvvyhYc2MQEMGYef/PcCaigUx1qAcsowIgg89VM0oVaq7uK+xWlFglhIWdVk5MAzr6AyICvs9
j+eLFD42Y2XHqQnOjAZdEO2tJbqAQNDlO2IzuLVC/EnX4ZQayem/m1aU+sGZoUZFInBO8dysgN2r
jJz2rBRZq47JhvvaeowoZf5muvwOOwoLCk69nfqctHYZoPBryYdrx2IfCA+7dN7eDzOUTBwBRzej
DBpkiAMbtSA1VUT1sRpTG5+3GnK3ZNUkbD1OR/vqFw8OmdWPS6ahuM1Beo83onoJUUkycfsxa/+P
RmJHfSWw7mIRb4UfdQcmYlhvmZpE7oA8+FuBkYRzfnLh6N4eatGF4j+5mm5EhX0c2FfoZCDMMmns
99bQvltjvnxbSd5c69KFbbE2RLlOxKENHspBrWNkBZdopY1Ysgjw6giDLSXLr3oep6egnvYD8AEB
AyjdNPDMPZV4ibVhr96zlGK+CegDfVmJexsUf+OF5B4zYRm2ugJw8Btct8ohqa9zHL4ME9mQ8cS8
QochTkhDA8SNs0JQ5zsMLKYLlhbVUx8Ww8uo3K03OfbOXk89h31l3/rqkPjcdAA091KNPYMgh6rf
7cd7Fd+CNt6Gpg62BY5BpDOS8ACL4EeOBnCPBLdmPOuQe0N6QFnE8dnHLKIqG02vCabT+E16xwEZ
7rX5xdbbbW4/qu0hkfkxAbBzI5InPgja6/LLWQbQrpRfXHBiH2LH1Zc2rgYS9/xPkN7srWGyYqkk
wd92pFvApJPSFcWIhg55G4VMPkyWqIz6nQWhHmacJoFAEoWHNM8yljrWmVM+zR65MQVu2e6Qdz9u
X6nLo8dE3PtbN7ZN785ALCfUku4MS8hIkQQZdHi/MR1Cjpon1REf1p+2BfKtazGd4spjP3XpjasF
HnnlgZeRa+gWOcYaMjuICAqiXaCeNUm/vPVzT1rMKI+hkt7Z9oJrATmOXPTWeSo8LHNv76ksOoxi
NR0AnYf76GcIupa1WXXXXI2p9PHKcRv75JIJHqhsORJxAse1xaDVSjdtDF1UUe1+dJiokkKrDhmu
cjur8vhYZTM9wnNOl1rjfHTf57K9C3yrw0LXKVBO5maXYPyzi8ZVzr/OTE3nptvO0Cg6rV9fsuUf
OnbDxPxQjTsxvqTecJ37qCfSF+j0uL60kRcupYuKdppga/WrDW9T9ZjeYl7jVRwrauzfa+DslUAS
7GGecS7btnU35xgJ5TzTh7qFORs4ItzXFjjL2tqMI76FwzKUyFnIM2RJO29F3THzH9SR48wlTcWx
9tLBuKB3GOMJkEwUOIbNhH7CdcVTZcUkoK5TiopiHxF62ZJbAad+BKqHhRA+DiGEcQJWJQbpI2Q3
bAa90pW7cj3pJvyJBZOl4+Aa56g8v8UOARf3tJthw/aLveP87s8t1cW747OxdQpSutdH0ZOHJH2i
rL5HFBO9pFnJPgNX2E7+VLVCyKamZEvtg2pEE/9HHhxnV6tJIYI4urWbBYAggh4uwzQ/FI11GBIU
GsNKUyks+dtaXFpKsXxox8p2BcpqNoWQtDyN79Kk0ytGE6Q+a/6SvYbVJl1+mVNnN6ZV9ln3atv4
nsEdznpDTw29XBOfPS7diX0DJD36xpMEQIFak/IBOl9IOlVSImqs7QPedd1xxiP83khYm3PnXv0y
1Nsix6V/wc86LaqvWFvnEIQMwCx5KWwdfftk0EgUwDJdyC5hYAjT/M9KT9k2KiS40JpeUDeKg+9W
1yCHVS/KN0/HmNwHXrvzydy4nwpV7WLiSkmPhfG+zhCM74jvED4GAtCwBgejJrbqcZdGkL2TqmRk
vG6mdTlFO28dZXT5dCjyQFBm4DgU1Yo+RQVmG0SlhQsFqXvucCwkPXcHAtdMrJ/w2q7zzbZEBV0J
5yTWmzOvtylJxN9oncvdLrXT7eQAjyFt6p8xrEmSEVDkLLYEy3Imyd13XCQYuD57lGhaSU6DngHz
PNlfmUYMAlw8f6o5woNb+/Xd7bGqqkI8wZYADeWjzrX/arHen6BaHRYFJUjnNdYxKNSP7jocJXN9
PFAUM7bznwaFpHvoR3C44TAMOjqJofrpLRHOcmPlb1wBMNp1tbdBtdk+3oq7Aav2S08Sn8QB/KXE
3X03UXk8xHMtH29HiiTt98H4IbyJyvnFV7SpoQn09WS/2B4U7ZEeFravFdxZWDNs2iVFkkW2wqnx
phAaRkrgACRqxlstqScu5KImG+avISAOrk3oPlrL3/VlYR864V3QakWP7gi97PYFlK3tv+Qzh7s2
00MI/vYJZ75U7dn3S0R565knoRidgqzpmJxS3zjjuwzdCgfhuDs4kwb2pa62xKzvc2gDd53VtYew
Rbqqys3oBO2XUcwy2WSQk2WufjT52G8VrHllhSB9t0pvjqY7CQx1X6yYPbg4IU0rPpDFDV4u64ze
zv4beWMNK3ogy2P9UsZxZGttynk89E70LJZoOwpHYFYZEvAel8d/IMWCHkZPFkEDoGJCRu3PMTDv
Yv7dNMlPe/LwVFt7B7by8JBnJBsCTkEXWWa1da0/oyDUYEJutWiKnwLsn+bYb7Zuh51elVXPY5Zi
swThgOlKBLt8ZRAk02KO+CWD4K7EQCtu01dZLB+RhWIa/kSDjcZI2z869De3zbV/DLBkgGmJI15Y
ux/BAiTBE7oat7aMe4924Au4nzsrC/NfkPgghQ6A6V75q0rjDcis/yOo63MzFdXHyg6x/UA+3u5f
g4G17xL8vXiT2srlKoKW3ZEDmvaQLaS3xIP2l/DSprZ/BQHkx3ZjuS0VDg6wwpbjCFq6TRe8k+qg
wgumQa/UZjEexAvkWRlB9Lx9hcKmfgd6BtRE4wUWinQKYiq+9mwalkwxVApgE7h+PjGVIOYumxdM
ffsluPgmZzRUYkU0dA5GjbrczH5Y7bPIwlK7x0DrVlenGkkguRPxxnLD4uAtv43lpv8avbSu72fp
WK+RxMPXGWy9rf3hmtelPkexRw51jo1T8t0UenwM6ohwgQbOGIAPVRq8aMyd5/zBmBiTiV63x6ii
JitBbC41VLJB2NGr41DRQRp6jFQpdxC4YPFngtDEmv1FS1JHGlibV6IkplNrhu+qhYGB0fFyTIbE
Orpi37vO+MAwS6Dt4EtZUUBr6rIL8Y385vvSk/19vB6wQ087XkZjto1XzseIWmnpk+lbe58URfp1
9g03IVTnOGT2JITV7Kpx4L6CI5DYiwlkUfrIjtb1DjmDrEGymkKVkvtl4B2oXm+9BQvLfhTzQ6hz
Gzboq9NnwMepk6I0xyUFEEB7+r6k6cZLg4IX+AfRxa3eNxpFvmeXwbnw7eJ+dMGtDE+3yQNGFitz
PcL59Tg2QGGgtgz6beMPD8o073FSLjtrRLQIY+04zXV4jKN+m8jyMEAdkruVwtg6POPDsgRnMZWo
OdPxoV8HFMp0zcbYMOKD2u52pZVeZIrw8LZaZDVcRnucjg451A9iFLhRSsQGUTI9tEDR+d2HyRH8
qy6bno2XdVDl8HHPanGoxvLbHk12jrFwXeO2b090T1TyURXMeBvs3UtYHDu/XL+1dsSofK2qAEFW
S6xuX0dmfO3J2b1v2uHLZwe4L9LpvYix9p0dK7/PumT1Svaaw+1Rvh1kxsmqh4EO4nZYpKCA2Q2c
6ur+PbP0z2UZuSEuLLH3jFHwWrSIAbYt8wSSsNazstTJcnKd+WhXS/BeET0LdeyhmdEqrZPMG0AG
uvhxAxuXIFL3uSpwUAgTbAEiu9oACLHjDjbsUtKxdgVqg02aDmhlIzba21CoSCE36Qk57ZQEeCYX
Fj84ArJueyy/vI74C8sZaaRzFKKmnL8C4Bu0dg+31sWaq/Kuq6k7b1s6HYt/lr5/7Xzy3Sw93yX/
h7TzWo7cWLP1qyj6erAH3kzM3hdVKO9YLBZN3yBo4W3CP/18qNaZo25NSCfOREuKoMgmKuEy8//X
+pZcHS30Lxu4WtWeOCO4JnQMSiCDBpyyK/tFhHzThkrU3JRO1/S72+UWmpq4wCaNi/QRJQaS3Qxk
v2JSayCWY2nJwlurJt6pJCLgiKUv+zMHTHOt2pKbhA5pNEb9XSH40LX7xHQ9tXF2svZdG03y3D1c
XQmliq0zYKjSVbxmhpBnpUa7w4U2ECMZm+oRMmAtJ0IZP5B7u4+RW5eJRdJEGq7zSfYnOQ6baysk
fUeDKDlQCKSl0WY7Ka+rWROY7JEz58c21bCxa1POwIDjs/jG3u+R/GJJCBLXNH4lgB5Ilqkf9zLw
fLuI74qw4tNYeb3huRzmuuFfmP7KaRER7mpjfO00OOFjLhXnoQ/8o5Yju/5R9siaCoq31JWXocuz
ZYDG6lGj7h8pBV3FIAj3ehsdfjRoYh3HqETEYiTb/TbwFA8Ii03V2NDKI7dceRGVMrVY8cNNV0qR
w+6EhAhXrl+LfesNX3lHmsoAduLe6eWrkY7y02hKdOIRo7fNJGRMvFeDhV3bm+2haO3JaUyESKeg
gJEM5ZgQzNG1Dw3qzuexJZmoR6w1u4lfuBIPDgxKDm5QR+qBxamKcrUbSg603DDvOaj7otBIQUA5
hCZpxdEBwB0PMpW2aQamw7dykqg7dSId0MP23gPFAxTsnePq7DbSW+XPUKA/hI3zYzFBX9E5xEcZ
QdGl43kgJ7R47nS0TLgFWGxY6rQU1qr6PoWmo8YY3KIMfXkjJAOIhxO54aiRyEG1fRnrWIuTwaq3
eQGE4jZlojCE6GwFUGFkGVwlWT0eDNxQe2In1TBZxEAiDCQMoV+M667uyUiwncdQ6p4RMi9QBRBR
1kMQ8G4/VealziTHAocck0tgd1ffB7MBxsa4RGEyT6adbd8k2HYt0W/6THrRWpzrGQsQxCUMqEcV
t84EDlT64DghTMTrJRFp+ViWpDjI8sbuI7p7VFdQcccnMETBIRmtS4FRp+r74X5Qyr0fE2NrNKi3
irrTlrdVcKaDtEMaSvokVZkxfw38YKv6OmCTMIWm3NjtljVMwgZ2I6GZHqa7uob6ATaknARXIlKP
si/MTalT+TItJB+3Wa1OzKPU+ceQFi048BTB9LSuqvyAPkunLaaOxikTLKCRIzuuJH0lJnlmoTMK
+IMduDrT27YJeh1N1t/y0kg2WY1iWotk/7lIG0oUcAwlw3ks9WDcenCOoK6TEHQTTlqsMV02lR+J
PaHwqAY/ZJr01dHkNYVqgrAEzH4W6pg/5Y0UbwMhrpWDPTIeVe2pKWx0+32N01DW4CxNy9TbsuH2
fpQcGspjHqQLI7Clx1hoVPLVYPXj4dZy+DFU/w94SvCzejIsramzU2os/hwfnCrzbby2dSR+t60O
+X+Ys1JbQU7P+BIV2iIiTccOsZulgJyzxordwSMb9rb1U9T0tWIMmwyFUMbjqcTx4Mp9WL446GVn
Bwo2+T2ickRJBlbXH8uGPJGIEo469T5S6k1VYQcHNThseSqXo93r+4yV2fJ2s1WVRZJOi05stP2H
TgGeACzsVOdxhKiGeUj1u3E5Tt3xPDQ/bmfHrCgvJ0hm7vVuSsw1WATe9LGUdooflSATsS0ae5Ku
bu9rERG8/KPinTshjQuj1q6o2MUsIkKVkotyFL5kbZDjtRQY8U3hyZv2LKjsUtzUITUou3OWcpkR
r6Am8b7vM32tAq08IQceFkDjwl1c3FVSYNzHAV10q7aPiloDWrXeq0wlYa0Hd55WAHk6Ezdw6Niu
PZjDSk3rc0jbYX3rxCJY21Tl2ZH6O5iKw/cqLB/Bu+1ZcRUvalGgzYwNZNtlyk4NkFJlxN4VzyHt
/d7bUj/EidVZzVYMWcYaM68gBNN2cIgUTkcjffbwjMl+sq8dVDhla2GTwEu5LJpi+I5RvmoRUHsx
5Y8If+CqG1vp7EeUL3NzIRpDWhSaZ9P1JNRnTKHoNkql33VVi1+vKGlFsYryz8WDQ4b9DjarPmtN
h3NaTo6Y4qL5Q/quNVhjEbZM1mgy3niRRtvbrTASL7EzNVrzytgnp55yAbkh4b4UAlDFrYbfjYG0
pSJJ+ImXtkuTGtLvUzVKz3Q+cllLiIsY+m5LB+bvFDmMhgaooKVcmayJEO/QeQBreRhBxWxlv0FW
HRYeFgs4w7emCMXHfBNEslsHLTZc2Xw2xyS+LxwjuifS5jzV0NMhzIGdlt6mtgPOQ6YQDaW1Tz74
1CEN7rzoLPlpeGpGHH1JTLRCqNfrsSi0ua0hp3GsoL3gEBE0oHCoJQpr7ttd/uP1RgMYBTOSGSaR
B8zY7Z0U9Jsu1qOzCKuFRn7n6fafEEVlbRHyKiiNL1KpD5Y1etxlP9bN1raKfNPlBB45uI8QTQ77
2z4jL711lkvlgW4Zey55YJWe+vpGr+gbtqINrgqRlwoCl1ZTc2pWrNgMVXKIHqupXAwZIDvdS1b4
HTW1gtddypjnBx0BQSu1q1ZCex4KiMqyVdKj7CbjSRrE6VOQ5XdOE8TE8YplqKCaL8JIu8YFkCev
T1AXwo32sao+4SJI3VKng5M69jl0aPDcKkq649Cz9VEcocxiY6AhUvc9eTMwM/Mb4T9nLZZPFonS
bqJA52HwkLXKVbdGsc5CJDFzxKTpcK1aX73zbeMOT4h8k+4jQjoSCuPGitDueyQXa1qv0brWPMqf
aMQLOl8LNgG1GwjJvveTmjQbp0PihalyFtiAOQadCk6jBdlcpKbzKMASNVMyorCKq+nYysHINQ36
b2hZ2y7uzwrcrmMFlbaWFB+9TwBzTaXM5zjAzyu6yVRo3oawx0IDV+JW48YZBfEvI6pg0GtwYh2V
oiB0rEMQasXh922bZanbQdiPjtP5T8IoepfdJNOqIMxxGEco27Vgq4mjapPy8mY7gYC4cmi/EU0T
lQQjl+VOiZVDrslED6qYOQljW3cj3FaDhCso8w5g+hSC7dRFiNhNxRZeLkOFX2ABkKOw3z7wxpTw
yspGu5en2ERkNFTYnSF0HbTPPHSsLPsgaVw9VYf9j2fvJiNa1wkdAacpgnPSIsjM2A/OKc+PUAs0
HLmFLN/3kRdssyZ7irMx2Hhl9MZoggtSonrWRgrsEtMqHi3qzYte6tG1t6wF5KYmCFmNsJrYg3Ex
xV0yrfgKwr62kk2+ZFeF9zaxQdNcY7SyvkdsIM5WkFYLKQ0/bByr98z8dAc1OVnBAmVezXJvV4fm
4AJqo09jkE+itOnI7kGQFiHKcYe8EMTUGDwH0Zi+607+5oc6p8KclNyD3JKPJNJq15Sxvo9qead0
ZJZg6qvebFq9aZB8aXFpPemoTowsMj+tQX6cOg6EPNrxJg2LcwK6358d0Nq37Ks4URlKc1epmAlw
WoOXhLM4V6aeINaamHS9cdKGthVF2RplqpxozoNXks2mFXQuRxGbO4Rb5aavEvup7WIEy7offJcb
Kd06CjT3tlHI0WibSa+kK6BVw/xAHT1yU5kGPs9BRHxv9WBP5NK2SpWF3qst0QZKsDR1krIqMPee
gFPXQEDYE78jtyF6jaCjzPDjJrYtCwa2kuIN8turRvd8pxX4IEhRxgNcl4ew9dpTIkJodZk0/r70
qCQkoreWHb4nqqQEPq7ws8JUo9JEUlqYrxsVPWgjq+Gz2tmUopI0PjhtOD6BLKbMycqZ7bnbTu6P
zm/2Zl0YtM2xhsQx3TJEOxfZwh6SIyR9sB0521Y69a669XUELLkFmhNHyvRVm6bZPotxI7A1NR5z
VKSuqdNlHPIuBBSDJsjDWK7blvT7pzcDfZ9PW3U1RMypKVyYmA1LFl7ksLEvOrmtYcCeKKviZ8mI
+0NANHCo4unQAjrNvkadX2ugbaUBWXxV5kmgW3kgbtuniMxxTDA5oJk09E+9rPaHls4XWexptf9R
hPCS1/gmJ6wNKyc7L9npTaqt86hqdpq9koemW4ip+sj7WaNX3Pwob8P7BEMBo0b0LG8BXYVaI58M
3XkcaaE+Bpbd7RS8B3iY+1MlNc1DjNoIBFc5PvmxA4KBnwUqy96x9yUUnwLxjeNnSDaFtqSbr7zE
IeXYJpX3g1+/jJMOsdMUZIBQRbe9JdoHHCyvNfLMhZUIzPhGIz32HeR6Gu73LaElyOyxV1W1emam
J+ogT+iupyI8SxBKPVxY3OdNBZ4wVxcev7Q1mx7VTrqJb0sPxQkhYVcQNlTLiU5OWuF5iZJn8UG9
rT8kCDJ+1GG0McHWkubGgeIAYSp1Lm0UGnJu3OFBDNAbL53J/RdYRg5VpWVGiisVvKjv3zMxvLEc
w8gvyv7OxPeVxAlRcZw+Y6rCRWr8Jcc4O/KwU9w+Ge5vjcqxDp1jkuQvtF66vdRZNMvJE08NCKrt
oM89rzU3CWLdDT50UhTHNUUCav4F3fOqTdvVrYQ8EsfSNjKdwCQGIlX37cpKrH6e5zH01T7L3ztI
LF4VpI9eI56J3RhnRqvGd5EthQfMb+YcpLahv/ngdDKmN4ItyMuxS608EA4jHqNK3AWyQJc7fZXI
BNBqfbLVB7Vc8FJMmKQBJ0q5fPH6XLkiB6pXNf28xFHSZRqCrw9I4xtoPxPh3F8JUXt11IkOhVJF
tFdMQrTR03nudDyc2PVR+ST9SoKconkeZ56AYW3ebaN97xLy4gKhESvo0a73AnghoiY969f5/E1f
hOv0Xgtc84v63J21NNbhIj9Ix3SOQXRX7NRNsetesGN7+3hFhsMMaJgbr4slqwAX19lh5SygFK70
jb2n3uTy1M3ETJ/rc2I3lw0fIKxmRLOA7V/6LGDxlgMkAwo9wAdcVO8Kbf90xf/OB2zzc/kcEyoF
d8iYhY/2YdhCvVgws6zCZeiq6+qgrincn8ITpiy3O3uf6EfzHWbjOUmzO/WY7wBLrvs7rJUnJIVT
exukQ7AxLsqJLGrtMmytE0i+B1IuNtZsmBszgBHkFok1+8y54xaH4Q178l1xDb4XhwDYfzkbdgNH
lTZfzqbZBStUBEttJq945bbv+pm9dU15AzxESQluFj/mX/GjvPWP1b5bQNRaoPJdtntlGdxNbfR7
6QRP7mKdhq2+ci4SIGPC8rJ9v2yXnAPa5oDKameW7Ktn7RTtx9N4IsN1yXuOfvGM7fUC4QpDCjb6
CmfqHrfhWd8irXGrDTw4WDuk447hLHkYl7RQTtr7SDp5ugC79DAljDiz5gu7UMpnVLc4njc4W1fJ
vlxI65yRSUsypWl6BCBHsaABbZjpx/TNXJCcszQ5djRPd2KrbPLF9CnKxbClCAYeDnmr27sjf3iq
Pvxddedttb2/83fKnnCsJSF9yCYodDxKzxA7tsQEbv11fgQmt2LXu+yX+kpftZyGyi0IxyrceskR
D+Yh2QcbsSBi6Wv60PI2eMAhtxy+kAyVj9q78gz4SHkOj+Wjuo2PeLFdvjsHv7nHUXFmrOaqWUBA
fLZO0//qUT7OQG3Fr85JeTZXPafJOpkr+5xsWrdbjCRaFRtvRXmXX8T0uajdjhuFJJJ55T7GM8Ki
+Hf6goYFn+vHf5lGl2Ix/Zl+uOTsUJafPdL2WSkb/ZA8c9WkJa1O157T10NA+5LvlDvjI37CBLxz
1uPFvnpX2qBu7YaPzmUI5uR77i3qPgWxw3OTzdiM+4Vi89ngVxP8Meff2cftH/uImW3tfORvNHoO
0p5u5AbJLR/V5tlAjD2fPpbOaKGf451hMffefGGcYHxsEr+KvX2WLsq7dCFqi7uC06a8j8/p4+0P
gz9MR5z+PH5Yrr/sZtmcdflM5g+yDZc7b4dGfD1excncpctG0WD9KxCgmpJs+KI17nXKxQvqsZQt
W7AvFRDTOrVrUlbxxDFFrbm5d+bCntsLluVre0E2yOJjeiotA9zQbMpSAM4wY5CkL87MY7kr19Oz
2DC2dLZ7hrU8q12P62if08fuS7ocpqHwrO+BIZ7b5/Y52/OQ8ZjyChL0Np+7Ldn1XE3idM8klHif
AQ+YvBpPyoWQg71yGS8jbxKxldY1R+LaLOUVDJQFD8QGHMGdsbE28NIOxl2z9o46lv+D5RobY2OS
/uDSIjY2fGpNm1kfwUHskNzvnE1yTQ7drluTobLEkrIkNJ6TSUVxDtOY09iuqnOxzbY+9iKkDRXu
uKZFB5qbxzFV241SNxclohbb6Tbqssp6Kh0ILFVGAuZIARNWAvsEpgCSUTppTuDM9ttv//6v//z3
9/4//M/8Lk9AV2XiX//J1+95MVQgvOpfvvzXQ57yz+3v/PfP/Pw3/nUI3yl45V/1X/7U6jM/vqaf
4tcfmj7Nf/9mjv77p3Nf69efvlhkdVgP5+azGu4/RZPUt0/BOKaf/H/95m+ft9/yMBSf//z2TtpE
Pf02P8yzb79/a/Pxz2+K5txO1I/zNP3+3785DeCf3/bh22uW/+kvfCJV/uc3zfyHqRrffus+b18Z
/1CocTqOgYZQc2xd//ZbxpIs4Af1f5iOqtBgtBTb4m+IHOwV/1/7h2wYsoaOSbUMDWHkt/8z0p+u
2P+9gr9lTXqXgwsQfHR+47ffih+XdhqLpRqy7liGKpu6aRkICRhb8f56H2b+9PP/ZvpCaVUHJWsY
EihsqiyD20Cb2C6ZFH0Vuq+v4ppYNo1qMOWOitxgre7RekMXV1rKKlOEVggpv23axIUbAaovbwZ6
KmH/rtKYWeBFQXaVe2iRRDrDJmQtm7x4s+Iey8/YkAI1jO9K05Ur0/CRr2tAHFuVGnuEBn4GZKQn
HDanTgEthlQYzXxFSrMu6mynGfYjkKU93oqdA+o6qqKFrodrbwRFWMDdcTRtKzrNP5fC6rYdWu1Z
XpvDi+FJkPWycDioFT2HtCO3VSSAu+HYUJxP4g959JyTlRQwJSuNSNjaN65tQ/rlbBywAAJXAibp
h2wP60wtlkPqxy+qVtIHUQqlvUhOIrmjbSmupcJ+HSWNadIEuqGMglUkiIdNNbHfRKDxQjbMKzyA
GqW8d06j0dlbTuWvWxw6CNKVwZ+rghoPLUeKsWUrIwumiZGXmyLU913AajAJotZFaRUt2e6oe6Hg
lYzt9IVNEgDDEpOS7KkXSXcEheP2C/kBIGsfY4nkAPtIvXJ4LwUrRSGd+Va5hLUMRxw//RyHVryM
Iz5lgWb2nPZdv4/95Htv9Ad7DHdmTgsq1sheriYBV82CFiWX92m05XA0vRFxscc5tEbrzuvrmE56
9BahUZzjpBa7WiLroIU1sgqaLkaaTDEUhF+9Fp3EX3Is70hVwKb6Jj3YEUmDdYF6ve3SeiWCgdpw
VnQzZ4BOWVVtvDC8sMUDyXm1Lbg/ZEBoG5VewHwYy2ojGaKlWFmki7xMy3VgGilNaOdaolqH8suK
yY4JrhuVAVfqUDYLZA8T1cbXDo1BSEKWcSVVICz7RvHaF99Un5yQpv5AGf7qlWC9WrQmZ5GyFdVg
RLJ3UJPwMw8NLPKKpROjQj+hQGaCwOhF0hDVGbj05OkDphxmPZ0buY3fdCgHO9tWgVVonLuWMu9S
ZctDsGLzkRk5VcSyl1ysX/Z2mHjbkInQ4muVtjFqoR18OARY0KLOJbzpTUG9B3IxIn+EYvYG9Wj2
qMgeC8gyfcsD5wXnE8H0Mch8IB/rxmnFbgS4M49b/z7sQg2diZ2ufMUZXPyxMOk67kh0SRBGpyuK
PJYr50Sw9FL1GhnlK7SBV5zWx041rknVHMyC0M+wihKeIttemjhGZ0gQUmoLsfEaCJ7eQeAcQglA
5zW3XTHd7n2G2yYgEkXQ/OL62jsr6ECaEgYsFLKP/ezdENNLiMw2ZLmyyrsjaUtCHi38R+hSCLKg
Kr6VUqJ6tfBk0+ftA5XsN2CwuQFCGFET+0FtFAjqERTzmiIUoiWNN0fkcYxjtZxXnKRlCCU7akS/
BNUPiJ9qBtuvMHdNVBOcduWUJMh+qNmunTTbVB2qFbWTMwh40gCXzSdfFXXUXOQ+cBNFtqDo6l9y
C7O4lsRzlQShG9nWawnRedXm1h36GmSXUfuctiCV48IIqXhSLDKg8cxtpyQfOG7fRVMATYIcb5fO
WxCpJKp5AYJTUolINICinGiXKAOHz6VVZ1UjPrvcOSMUfue9Qs3Q0w5K2O4tobxGrXc3iOqCsu7B
91J1jpuC39Ljyx16FFrUJFl5DR4kPYNU4UrDFNxkvG0Gm+AjUdrEPiUI58ZwfIk9h/Mp4d9DnE7o
d0aGbPYZOCZ7rwxsVfDEmxnMF2rYIJMu9C3fSsup52AJDspI0EtHPo3MCaAaAHXRFMciQrFMm5we
9lVDAbBr7JoXRjhcRcoSPpL1yK3Tbp322vda5x3Z++WZVi5ZUcgeReysgduT34RWozdDENGVoYAn
Ux+YLfFEmN2pDcL7ooMuJun6JaYJOpeMmhdLRyaY4sVcvwI5YzOG15qwqBiX0sIcSPepnO6CcpkF
6WhMrxZAvlmgbSvkWnXOA9/40nks4TRaUL2Nju3bUCH/haFhsKtNxzubTFlKcJtU7d/zvn3hZXcv
ci41M8saF+OdHdefqLWPNC52SZQjMKPhJSfRvSfl380QQiVvaZ3qu3ZII2rkisjNWaBmguta3VFj
4WFyrDtfIhu8rbdeJMfAmrrvhq1+Eb51QRf9WowghXPN3Na+8K55xSQ9Cmvvl5a8I99suLNEx8I9
GEs3AtVH5hMlB0DmNlslEEOG1QToFRUYcqxL57GD9JDxzbJIshZ2TV3ULNDxxEs173caxtLYHrdV
7310ZHYSD5Go1B6Ar8JQ81dJSyZA6ZBCYPqEf6aCgAhgtDOCzY+pRqBMCTeBXnQEJdrIH5IwKqH8
lG+NXu7GUH7TUfwgvV3mMXmSpuqOBcklemjT+dU2tga9MOlh+3fhdymjRag76O9bAzwczQ7CDYvw
0fQyavs1MY94hgZEmUa7KZ30asj0iRNxHyhIsVslXBuafbEdOF+ZtY/h1fmDBeLFc+nNQ4nsF1C8
1r7VkY4kn+xukOaG4C0FHi7I6Hb1igHFUF3HqBW29ogIyc94rwfVMsN3kDhk9WYVhJm8JJs1wRKU
XOU0awFj2xtc3j7Wu4mbYNsrrQg/vMQ5xkCg2SagR5cXfcr2r/QVlnI1W1kYXpLEHp35Y1XFYKCr
3u42AV2/2DZenMh/aEYoijwBL0XdQ5Em3ky2yzObsgXNsJWQun0dSPeFVuOWMj/GkRSFxLTcTCDK
FCbuIwa1UIGyVoK0yzY7yIV8cLRh5bT1U1QlcHnyF06vOnea8XPUYP5rYXFtHEEvUEbZiAoewmhT
rMuM6ArIEsxZlvcSevITSJ8Tb8yGEsvwaBnZxVSJSGGdirLyKWqkVYbRY2q8lmhkrLOi6exIid4h
TxLkQ78ykoGcG8KbDGlNnB/52B6yIoNwa4pgk8x2IOAEhLVjPBvsVy3yeXQAowXIBkG0lZEk80F9
kqvYtc2FPCWKmXQHiPYYVLqhVNG0BNoI2ZoRG90uN8gkJS3lCR0Gy4uzkpYPHqvcmVJ9zyvAr7hj
KTIC+8DsT86xtIPqMRk7lihkVgNEPQ1oFXL2FHxhpVI/CL8C1acM+Bgbe4EHIdQVwqeIjJNW4Pua
+BFaEzcb+8BLN0rwBopL29FVCD6Ef2+kT6Ugj11fqDV68vRKCluRnhFur6VUuSMCfo5IlfZQjrTS
30p9ugRre6dXHsXf3jU7eT6I1sWP57efAS3OxEN+KGFAMYm5wE0P9GopZRm6BbEKSn82to+BP+AN
AXRivzTVy9A9Ffgfo3cdyLyinUZWUZa0V4ONGd0nHov7chcA+6qQf5rvZXbgecm6vZZfnPrL806+
QRN7wHAY0J25T70G7CVOD5QFvM4vobmWJ0n9S59/deX3QGcI+0b/VCoACw5rfDD0HdQEP1mA2pjT
JnJb/w2byBIBkk+QTZ9/1sShaVTHlWFc9A2FstbfN2n8UMQtkTLKPEvOFa8s8eZHj72zkfR6Jwfe
LjKonoMoD55DbhOuKz3zDFinnSjbAMtV2zyabP8FqVwoSuZai9QO4HgTX1kSEBSOkwr1o8yCQqMV
YJAn62+16d1voornDeiTiVqreHt6aAFj7yJfXKqjvrTIDKz07aDsi+AzjF4x4Lu5ziW7trSl4ZLO
tdRizrtVAGgYsJWLn3UFdIAS3BuBsqzM8SNmLSKIXNSNzxyuPdiUWYy5TyYaIoDCqZk0D8mXF9G5
vLVeVXxnA6XGoNzqdrpOJe3oj69oAqwh+lDpABiQm11TKu7gX6dcrAdPJYHEU45ZEn1Y3n5UD8ZA
xHSZLLIKO5NGALwxrIhaWakyucP497ENL6I2ePJAtIIXnaWy/iA12lF0m8I/JSSHa9boFlT6HJPV
pn01a27z8tIwV0d8p63Ch56AEqVJF7WmsOhW5nSuL0mwLwNOauCzeuut1zFySCUPV21Zr4KBrA/0
aTZEQjsmHKqx1oNSoM+TWHSBz5et3aSjMmO6mQWJtIqDHhYguYZhs7XpaiZ9S5xL7l+7sFraSX3n
KyN1R0NQGSpBNHqO86hAFhvacW2QPAZ0YimKKZ44WEbMn+h0v+QofPVzTm1kHPHK7+n5vSDBr109
8R5FATAtMsCaEqPKA2ioZICZy4h7yba0XV9bc2AYz/porRQjtbd1S426VxepXB/UYLxPK2srtRZB
ywCN5nUfvYgQly7McqR4LQzxKWppEOQPQs6ih4NuVMjbqnI2dRN9yBnEWTXwVkahHbBdzhHU49xN
ZEIhdqlz7SOQD0F3EULe+ZJH6bpN3r0icRFpL+hfPqpDtU98GseZSq2KqPmY7OI8tXYDmap08GYe
QmgHwkqCFqrgeZUHfzdEJJfCidlJJPTR+J81Pe1IFWg6pcBkmjwqukjlzoKvKXpr2ZcRFjXvIGsR
RthrlyKaHNR5Ge6CRlvYbbhqTEjeava9YKVGg2fBtL22oDZXRA4TQ6PBCW9CLHW4pmYVD4rI5ZeS
FOmaVQSrpGudQ2gviuEUecoXya1UY/VVUyCyjjXanIReqPLeK3tyQJHh8olz8j7U8nOimeJJn+Ed
ztrk7JHKO7ZnGUu5aaB2xYkjO1REDZkMy2KhtdIT9pheFNdRrnZ4Q2bQWh8z4R10n0193gg3ZNei
mZcsNc0FMmV7Ivk69G+JXtFZ77bOMmDmqzBfSQ1J1OLg++Y26NhcwUs45rlDBmC2Azs49/3BJcoz
IhGUAYW5fSjYWs/GkF1TQhCQ+h3FNW0/luvRZzw1k+y9hfO8bu8Y4TwM5HUbEPA3tuSb4qGwQWoX
+haJFo1asVQMMmpRAiATDmE4eNR2BvnSxv5yUNoF5Y1i4vFcsQNYM9kEQcTmdZXr70P2pgHGNKaO
PrgBPwatSTMWgdRKCptNR1ps4FFxFsdqbHd2GdPqGK5GlxxqrVPnihU/hAUzBupn6tN5RQByXkFk
ZqO1qBMgZ7lqkJHUE2eR+s2ziNmcVdbwVKJMOZl+Gy99k7JUn6RfVV8tFdPfD/n4leQttrlhbZTW
q6IV373AIVdLUFgH2L/oito7YIYtHhoZcridW9kW0TYxCpwDXhuII5GuXLNhoESkxERFdxMOvjbd
FK0hIcKI06t0Sl6kGaWj82J1TxuyLst1kmooBXPe/Iie6OGy7MH/D9ikN68xAmpsNOY5S9hkC1Z6
RS8Tj8l84Wjh1sl49VfaqqssOvgWkA9P4CykBsDeymM3HAukf0YorLWNRHjmy9zpiHyIQe1A73u5
tfCaaqAWUHKDpwkNoAaodV1pHxX9XZ5FIqKQZ8vHP5RMfy9U/lSYVP5UlqQYacm2Y1qqrlmW9XNZ
MqXwWHa+JM/Fwltlbr4CfuEcOld1h7Uqz/8/jqbrJu0IKqpof6i3/rEIWqmG7wX0YOcBjShelKts
TYFuFrvwkWZ/fSz7fxgYQ4KnMw1PM345VBtRwLTKBpajmi66HkLK7KnXH6riCtzL/etjUT7+pbZr
yH88lvnzsNgd5UGWcKwOl5MhH+Cp/s1o1D+Xj38+xC/XCUFtwHuLQ/Cmmvp/7P3PmBQWVPoWyATp
Nktz5WzOBjfcVI/RDm3YDuPgX49TUf9moNNJ/0MRWwbLaUc5n2JY0dJdhlsaJQs02bRSJDf6u6NN
Y/q5ZI4f11KZtLFlUrn7ZcykfkBTHDga3VOiKXMGzLRM45vMvQ3pqisiI75nNEn/epRTJf5Ph3V4
ILBWmAbFiZ8HKSyg3AW3FZIrDL4VGycwsF78XKdIXD8xaaPJ6/+Xx5xO/B9PrJcVbRRa6hyUCeqB
em2slEW1Euu/Hpoy3fW/js1BPKQYvHpV8Jw/H8eCqEmd3wA0f2oWRGKzrHJJwQbGMe+/zKW9I1t5
bj389VH/x4M6BsZlVdYcferL/HFwo23rTeDZBOL1iIDT+4BiWiv93dC0X4dmQj1AJKg5mm1YsvrL
Q1hTkyaKNTPpvHYMjYohgKI5rUueCcaVzaLVXw9LmX7jTyeTI2qqY9IkUmTlTzdK3qqDZQocD3Rw
N+GifVPQfiAh91dE8C6mhwJFYrux/uZto/zpdTMdF8e8iZOR8/nrRUx7KVLlaaTdls3xAtTmPD9Y
RzbIWyKJTtnq756IPzevfj6iM537P9yesZrXBVYccsno2etz7pmrtDBdwF+rCjfu7G8P+KdH3zS4
Ry0DrqCjqLbzy6Pf1alRtSV0d7FQltqp2ACimbdv05kd3Hre8MqJXTKl/+YxVP80a0zHtQ3ZAFCh
0Cj85dlX6i5RJtQMA4XNRgRHdR7ip7yXtiqF5vG/yDuv7bixZct+EWpgw+MVJi29ESm9YFCUBO89
vr4nyHPupVJsZZ/bTz36RVWqkrgTyG1iR8Sa61q6VxA/u8Q33xd2WxXvS2JXDRsuYXpUVTatzUW4
B6+O71N2v35W4NTnJsAf2/DJpzzZLdI0TFEQkx+0Hjs6UYoN1l+dk1/A99vEG3N/Zp5/9mUogrWl
aabCnDvZNAIrUfKQmwNtHoPXvxhueosAz0n3gGa+DJTTQ05vOh7OjfvZl/FhXFv+fdaFIPLMymBc
ne4QiddO3398VDeFR7OnN/gNmUSXfM5WpQp6ZiZ8srgJjNj/bQiptq4aJ1NepturQPqp0e4w0IQl
quvyJTzGB/1qpLKCwZNDFUD/Eh2kH2de9x/bJd+ushapVYupaFsn26VlIYWgkrOOvC621CdHZLuT
izDRrfcQT2jSwLLifzCqKasWuzTRmXZan7YXa5mo2eoc7cZW9vtt118tR+2m9aRtvgmMg/Fke/q5
mfznFkpYIzQCZ4Mebv1t4/mwseBEU4sZ8t7buQegAXdBLAO3eCcG3uAuruoO36TyTjo/8h+BL2/Z
FKahKpyDbDMnK31sgKA1DaVx+RAcMN7caQ4N4xuuu95/fuquYylCNiyDqFfRThdQJLQiDBfEehvz
mYag9le4yzb5NnbxEhcjW1ruycez28Sf58Rvw+on68cYAbE09KMzkYKZNhrdMQ7jNvDIJzRefSH8
fHP2TFyXxe9n4u9jnrxWrne1GRdMo/GQGw6yrB2Olxemb27Zy6+xSD43g9Z39+eA8Ai4Tqxb9ulq
MSNJKdcBK292uwu4dvyTzrh97Ybfhu/Jk8T+9FVcpjThO2rlnFk2n04jw4YTrqgaSo6T581NjF76
kgQfXbwkardofehR9ZQN13a6+/4+mrJ+Y3887IfRTjb+olFJWBb5+o3K7jqHSDTB5/fMyjddkrXl
Y+5mRzzK2Sryaz25Cfy/f4JPYg++3w+f4GRbHDpYPHEMvuffe7IKGMwF9u9wGh3jTU976N+HVD6d
xqYha/CehS3Uk1jAHnW7h325rh7I1h4IHuyJ3MLDObV0tZvGJ5r9QlrdtVy6BEqfNIuX/Uxuz061
T7/rDx9kPa8+bFZZR+qDpIf+FpQYbrKhY772FlfbyGQbz03sz44B88NoJ5tGNxk92E1Gwzsz3Cp3
JI32QDPowXIqHzLne3x59iE/O+xNlpNF/EUAJp+spyWrU2WcYciuCYHIXUjnOFQc4GhtXyc3QNTu
rEdQSK7nvc/ttza333IRn33RFk1XptAZnS/89/erNgCcSAVy5M2O/bp4LYJnx3azX9ELgCMXFmtC
k+XfZ9dnb/njmCeP2+vkdVSLMSf9zoIzWn+pojPP9dkOxbQlZhcqxUr9ZP7OEXXfpjXo0j4Qu7Dt
s1gPeGvv//4knwTpOgxA1bQF4SsJnZOtiNcqVyV3oLcL0Pr22p/TcV2b9pYeR4ps525cn62HjwOe
7EbL1JIHnxjwYzaHFoi3ePDvD/fZ1Pg41Mm2gyC9lmG60utOM29FT2kp3/19hD9zGxzSH4c4mX0I
aOeStps17FpbqykFbCxPbBGVb4qttPn7aJ/MCST6KHAMRRUkqE7mhLATSEdBRg1sG+7abbptfPyQ
tmeP408ODMZh5imKrNPycjK9FUxgcFAp13HSO7pedpg7X2j0wp7bpT9ZR4J7sKHIgnDqj1wNgDy7
SCz6oWDN9BvR9DSs56t3cWYrZ96d+GTekUHkgQxMxDSO/d/3CUOHpN1mnery/qp9j1TC8lLV/deZ
6//9m/psWTEaqWDu1JrCQv59NLHoCVzAhCfjzB1fuIVs00fbpQjkQ2M8n/b6ZKr/Nt7JPMS6o02W
lOcxwgd0XgPwtL8/0adf1YcHOpkTY9qB9nx7oHyiMbHfFp3YSa10Zhjx2RxXcapDJr/OidPtHBSl
1gLZU92m2dVAo50CAZdxyP1pV/mwQltQ876lXNBmiG2pbyEkdHHadKiLnQkhPrvMAbGiA5jEEFLc
0yAxo+vGKso10741X1EOk+e2HjAxpHZCpESZEe+s7bg7tyjEZ8vv47jr9edDxCDTzEGfxaC6yT7c
wYMmVTtupi/l9dnN/5MvVSUCltlTVN38MxclZ0GrwRYlcSG7yddwB/V9F7vNl+pXvc+9YmteqDd/
n0efrYzfxjzZ//HPNcKIKzRjNhc0R1FxfI42eNNsCsAFz+eXxlvq9ST+/W3Ek7U4UsYy6eReg5MR
QYfUIQ1EFoOr+rbaK35BRSG9xKvKly5leZC9dm/t0o11Zkv4ZIX+9ilOVuhCY0A3jutVOSguLQsz
g/Lcq11f3d8e9GSNgnw1rWa9jWu3k7emFcNv8XZxLSfbQfw4c5C/JWD/GM3UCBDI7kBzW1fyh2mq
50wsMi26m1wEbHPLxr6fPM3F2D3xtJuFtFt6SfBHh4ZPB++Pcq9zSy4uqUaemVGfPvZ/fxB1XU8f
Pkgdh/qIdv79fkMO1ynuIw9i7DV5zU39dGa09Zz4y2OrJwFTk6dRUa2PTTwx8Jbz6q7b5xRUDE8E
vsLBD1GCtJ4f2ReFG5zZlD6dRR+e9WT1FM0ikAzwrLZcu4bcblhM3t+f8JPsisqh9e/vVT1ZLqk5
i6CbGUKqbyeaU8tWBkW3k23r3JG8/qS/vcqTJTFPzWBVNa/S4JYivJjL907sYKjgH71fSDSI8dxc
OfftnSyRDkgapfv129s3XPrVTc8tRfOQC5TkOOhF3xAQbLE1qdAQ/f29fnae/PZiT/b1Fn4XfdaM
TQdWcbGWMpNNs6M8tSn39uXkryVNmo3/b4c9iRrN0lZStSVb1vqoEBtH8QXplcyhoc+1t7KXbjK3
d8/e+c+typN4CwkyvNWQaRQh7Qp3wL6wm3SAH+60Y7Zdzu1952btyW6UtYpGW806XH1L43CyV1C4
DskGRQyGy1firvoVPLP57vRzI6/v7y+zWDvZfmZhZnaX87VqW3UTufpTfxWRY6AJ726AieYDfPL6
XXSh/jgzn84NfLITAeTGaaJkYObxc24BgnTW+Tzs6K6AbUbXw/5fBaWzh9ln0fTHuayd7ENzA0dx
RAvFpELeulV39p3mIMS5UnbnriOfBilUV8SaB6Xd4GQ/ol9MiTKDocYyfBoF4j5sm6Oofv776/wk
8OQq8t/DnGxGcqksAnUYiGn6pCH4boKehv12wMtCcgvzJpZ51EA5ExX8WVs19N+GPdmQEnPCsmQ9
TtY7nUT7EYm5ZWc8hBcTB7dCPyRF8nOniPLZ1CFXsl6FFI0k+slqgdozVA1pjLd8DZ0+3Fu9BZVQ
SfSn3dMZfg1Dgjy64ijH4qftIXvfQ9K8Ue7anXw89w1/FvHCSPyvj3N6gkeRRcI55eMoTbwLl9eI
tigaqEGS0LJfOTXGYfqqRHv9+1f+WV5SFaZMIhYjEWGcTq1qmPSq7Rg3bZxsD//WLa6Xne3LwtG3
0iH3xuP/KP79OObJPKvLaGnkmjHfCzWtS3NdSr6l3tfUEcLN8vXMQ35y8f3tIU9mWEQ9jB5MBlyT
r8FB7AIvdTEQ3EWHevc21n8kOv0/U5ReVz+L+675+bO7fKn+H5CVUlH88Nq9U1npPe1lP4v45aOw
9O2vvAtLBcJSzVwLRmTyZNlem1LeRaZC/Ue1KMrbNpkCQ9fY3P6lMdWMf4DKkJYzsLRaYcp8gH/J
TDX9H8AshkUaQ9ao5evqfyQz1c2TvY+SpSLTLmPx4XSbUu3JFgvRka7tAiVTagqKaEJDtyOCTTKH
zUbLaNPLgHLROjo6UjLEaOo04TRJ10BPQQJHtGg7OZ2bcRqrSKra+6QJAtx902PaXZloIC+0Tmys
pkXHqmCMBQhoa0bFS6NUfkzn8N5G3AwV3162Uyzhs4eUJO4lRDYNyOQsn+jRhhBGlIatHYiFVhoi
r4/0+VjEKUic8ianFcYxe5G4g9ojfI8oCcZoj47jElMcDPhvBnIcUgs0WehmvS+KaJcWVu9YhQX5
o7AR7kjTtWHSUR+rgG0EJn7lnBKx4ERTBLF2QPBLXNHDYwFRZ1aYNmtmRk/KgArOyFQF/+4XasKU
GWTxFLUTsjQt88Oh28WR/nOsWnIYukH6wO43M1BwVxryxFMzlBXjpDr1qO7yWIn9esGoHLWq5qsG
DfhNqtebIgKb2iV7JKOWD++2oKPTj1IFD4qQAmhf1M/tEFwtFY142OYQ0MFpdqq+hvHd3Ellhbtb
gbmdslw3FS5SudrBdFL5LhaRgH9bxWMh7bQdVlhj2tAwFS3QBOgd3SgVPmelgUUuADrLmcaIHicN
KAwOV3TJ0gyEWxBIkpBcDddb/r5qFLDLW1/N4PTRN/RcI2+0BeLTmgYHMTRfO5nm7bmqHyYrHp0+
hTEzjtJPIPlPUlf8xPgYcF7Q4aCg155SFDQKlAahVdo+NKW9oVt2cU2TxxRdy6uoI99qK3SlE3JX
stlXQ6sXWzWG0iYpoK/KTAVBHYx4UkvYw2T5jkekB7qGIt51NPtW3UBHgPoFEUoFr6uCwRbykefm
yZj8ajAzOmDxMYohB48iVp1STZp91HDVtfCA1FaSLAD5rZbBJDTG9quNixrNVE45GRE+r6C3RWdd
moL3N3dU3IKeZpE4eO6q0TqEyWQel4zMVpM08M5pD/Xi7KkA7Q3Z0rNsenqBHT7KNO5mYsC+Xlku
sw4PG6Z559qVdRUo3NOGyNwW5aLfFQi8N1i/JHxtK/NrHpzFqDZkkRB8w1M27nIF8DdwHAS0ZM4q
5iKOu2Lh1qpiz5MV87deTCXOlNWW6f9FytPrXibhRlsFGhJkf86AKqNfcLWdJwX6F5zGVRHqg0s6
BGoIFW3CMzeWfKGr3yZsql3sYx8BSzrWwnfblaB9wX55FQZyO0VMkdslLfy1OtsqBTuJ6MATt3rv
1hITXrGKrxZ2o+jAJnxeWqB+Gv5rS5Wr+IpP9OGCyUwgSnqSMilegmcpnjUVLdLitZmpliu2XLmt
jMfEYl1kmb6l93NtvpkRmQ2KN4b2LUHlQCpqYKEgLsGZuT5MKX3GQ7JMtG1LBxT4jY+pt+FQblT8
CTBTqAtkxNZVOMQroVMo3qQwHzXM0GHoJsMupOE+SPHvRq/mUI9DPfY6sslvO6OhcVjpXQLOyF2N
ZlBVxaCKWbU6vd/QK1UPp1XWN/xMZzas20oCpC6yiN1NyEhcjGctStFhFRCDEeLFdJFu+6CsndSe
6cRgereV5pTLPmwt9KYRLwZDayDTc7aPAgQXVbMontzlpjOZCkpsg90VZaoOgQxTttWBflZQ22mB
gvlTBh46/zHJtO5rOKFhgsFXie2xmzUVSioLNWiojjgptwjtEmZ3S8oNGzC2mSaQbs0wxuDmEmEj
qSCrfe0W6bmMky+D2bHz5NIR3YR8F+Iz4koAoZZcfk1sLPhCe/+2VQJmRMUKW97WIDvHvjrqBRr6
4X7BDN6PRQT+2O6OSWrLePF8x0Av22pGtxmNmYAyeDKaudtkUbSDMA7nLA83ncrH07/piW/Cl3YD
KBAcbvF3hEA/QgvRlxrIrdNJWDQ1g4u7DeJKRWS3/aIiUjXxvAhNWsSB3KqONkUyXOX4pllvJ+0x
lXkTrNQHSGMIaTK3to9B2t53CDDoER03WPX8sNmnnW4p0Ww2eufEAyeQNm6N4rVY4tjRAdRJEjer
2E63mdQ+5UyhFeUBK18r9mNVfe2zkJ53Y3bNdEDgmnHmjT0VwzhiATZyUIFh2GoqZcqgkn+sP0OZ
78JW29uC2k4ld8pm7KTqKpcSEKVxuq2xYHEio7rVczBlCMUA0feoIypb3JgCPYTaQ1gQoUacTo98
P1Nr6FE1JZPGo4gWOWuAv9uslA9prvpdUSvusgDRqop0m+InX4c5kARQA26t6JRfqCa7Vapd1p31
XcYU5SaCBN6nh6zHw1UbsmtIwKvtRF5f1MEXgoRtB+5sU45ySIQC1GZUSHDShu8ki3TLKh2csLnq
RXu7NCPYlZG1H8AKEginumFBk4u/ZY3GBnulI/c8HMDQdIZFeazp8N/pk4goVQ8AgHTUt+wG3mRI
d5YdRU7RWFe5McB2otOolGiNUbTyJUumVUcF23OhluEGeTW5BTi7MEpW++jwas7GHZ3tjTOl832U
Jc95h9FBFHFATPQlqBSj6DZKQIgtmRdmJmBzUFxVvzoulcYqhil1H2klYNGggN6Q9qTq0yPe3bk3
j7bfitDYxhlbM5hkN8BjsYdYsKnn+bKostrrAmKTajgGeB8Ug4LYXkGwK8/oppa+O/bJAGU/mFHU
hW5m9r6WaOk2wefYqa2KmaUuo2esNuRAREiaNTVmT8b4tVOjyaPVlHM7MwcnD2cfKCHmg2zHzliZ
uZsYeX4T06uJigILxhLL6spKdng/7qCQA2SK1VdY0YRjmNgr4QpNVjr8QgqEEO2DyCuwvCZhZgXg
iw4Kfoo1om7G5xHuJ6rUCefrqQo3VQLKU4UjbVZZ4ilGzUljF5sJSO5qjzHTbVlKd12ieai26Q0Y
M/trUHpCwSxBrZ0AHlhWG6SIEFthYKMecLmgh6wdXUlo2Z4cZbSB2Fl701Ih8keY5Aew5cE2x2Y7
u8GSPI19Jx6LTGf3s+xvegomY1JSRDcqRpGa1twMS6lvgO5FTtWE2mZqdfoS6hKhL0yBlNy6P2G2
7SudmPe2kf6sVCvy07xg8iq1lxqqjfk52sMVsuNU4Dx22hIcbKWwN2ag3aqF1jq0w/deRRu1CxTG
UZpdp1k9bl94UUSoHiN0aEVn3uF9eaeb4QP9BdNVo8eDI/Wob9O0giJG3dQR0V6dMY8Vi8Q00vEK
CRJXHizkWKm0S2ZUge3Y26hS6HXXq5RQFUglfxPVbV7wEYzp0cTSBoJKwFE4HXKpXcCQR4TmcZUS
YtYTxDfhLSnRbxInSBmBRZRdYqGHDiaOWEmwxaMh7FLskBUMCdE82dDLO+kXeTnsnOzXetGFN4fz
xSjnwmvM8VZqiMXlRUpcLSGmrNBeJ2OBVFQJQRraCBAT+gOVPi52OX9S7VCbw2Aq9yU/pQlF6+FE
jLB9XH3X6S92p75ocKooS2+BiFG1eI8ss1p7AHksVxb9hWIMNvj94HsW1p40psW2k1Gai/I+tpEJ
Rbq+IRzPXRmBlZMVmI42yuSOQV37SfiMGQ2bPBRWRYsDhNjpF7btq1yeL7tquYtNkKJ67QfkuXDA
MQg65AQLn/k6RGCZSWN813p1+BiKtWQumAtrd4PZRbtFs4lJKoAfVUYKxU4NG12ahbWfFjEtbPmq
YRno6OoWrd23w4iYfrB/pfnSEMo0TzUWpQn+Eq6tPrSSBMEuRpLeI2hQE1QkSjMZTtrV+g3gIUI8
W6oWZx7SbyqNr+zHVecu4fiSxTRbW5MF22Wm4VpLb3U4P33PAShJ5NrjboOdQO7gQCT7lYIVtlyW
BJTJg9bLX/o+trxx1O7CxLqmILyPshw4j06YWPQlWes+wXIdm4ySn7dwL9tia/ytt/FyGoWxbq/1
Nu51RNosalEiUwQx2AbzvBeT7Jr6UzbF/qjZIy5oOQVlkLdtHkF1DEL2vRRgJ1rdXV9phDJhjSdO
OQ/e3GBlrULvXTe5HNtHewvN/RioBImKdYexzTaI48THeo5ulji/zAjBbwwz8vvaZD2p3H7rip8d
NQQKkG36fsETSL5UBra3PCug2VmIjEK8IS/HoNGRTtdXVmvkvCrOhLkQkj+pyLSxuYOyXBPAlOr0
IwAecxmxjNQ5eI36xALdLrUXmQ4Dkr87sI3s0hZYHLuOclCkZGPYIVw29Pm+1PSz3w4yyIhJdrje
rdSYEvpxMhDeJ6PkjFNS7BroEn4yVSg77RJhvo7niDRiirAqhSPJUxP9tm32mFcqD6r42tRxDfXG
zlZczc2QYrRp97Wym9AIW+lQ3EUD1mBCwgSylH6AhrcPuU6OHBe1XVxOONIuETL2ybKPcT18DWrs
NzsLdC/txrDW5WL0sy48tEbaYD9ZotEdkf7WpfAlGVvUzLa3eYZzLkYyO1E3IW0/I5rgKuIeOyV3
dgwfoQlnFDl1exjseI/W8CLK7HtYnpkzy8pLhLXkfuqKnONyPf+KS6QcmTuZbhTRs5fYheyyqSNM
h/wD/mE66mZRbyMrI4ExZRdqrN2HSWBtLKzCHbWFrj/gL+Uo+Ce4pSQ/pB0Bdd90+xAsA2ydGQ9h
OYLoaK9uxttZ70cE2SZxey20Y2XPftlPw57o2jVASDjKugO3w89ggUdBrw4cWtDpGms9UyKagrGr
EBb3WNHfgZ5td+M8PEp4AO8RFsME1O2jPu14BWiPI1nBYDVMt7GGOKLFhHEcSmsnzWWC2TSZ0CmX
oTq184+lrwArYri0qAR2yBc0L5+ClyCHOCTJhR800kvdJutOCjic6+xYmkcON9sETG/IDUFKZm0G
uiH5Kaz2qIz9TB0NN5caeNWa9TrKr32sNVtFjW7F0NI6rt7JaqrsQZQuo2Ijc2b7wQ4H4mJfUm2d
fMzC8u1MXc3pbRmOQ2X2myVMgZ5AynWauTeOIhj9PCX4I7WUtL10USThY9JxwsgKhr7TjAlmN6KC
FQnAknR1SQWnZvqtOvWXYdDc6QVcl7bnWCHTwQGDcyU4pQRSR9PX7kyly9GJMRp5OmIHzabIp5lG
FPeyNeDql42/JtADfjOleJJF3LHaGIIGWZ9gk2bP+coCKNPiqm7qQzVHO321j4tmv5qtnxnOLpso
kddm7Az9Ws+XqqP83EgNzKQgP/CZvXomPsEOKfeUrnnNMQVogp9BN7xawCOmJiHBJWyYs5ML7oad
WnvumwaomUpOLxhvgtH0OHB8AFtsLnka+AJrcK+oxc4OstkNxWvacwum+6zw1VBCSNDEj7oNgr3I
fjTcADnakzUeKVf83GEch9ZHm4zpIfmYJdVCzhuAa7qyEakN/jHvY8y7U3flMu9LOVV39KZswIU/
twDgfXPPBLIHTvpRjwCRcwUnb/hSRMpXIWOENA1muhWpyUwwGvJIgX4bVpW+rez4JZeyG1jSy0aN
MjjQYRzuRiKyC0sFShQQoeVV7GtKVRDDT+AeZnYGe7SJzbWJsjPa4FlaYr/XKwhFjTRyfOBpULaY
SfSEMwY2VmHqcoe+AQRRb6S6TzYTtYlUyCjJy1m7fkqt4GkJe+xvMUXCqhrISVmsC5w9S5qDYZdX
YDz4oi/o1bhOywh5yBhDtBJ3XFd1fuZ3xeqxNJUwm5/C/aRUh1RMTw0YhypyRxxHCeRfiKOAw4Vw
jDIASrE9XhLg3GhTTVCLDr1X5KMUy18qQ91Bg8KRrOxozjCCTbfmOuPiGw0A7E0dAXAR56gTn6u6
lkg/YYxqY7g+hUzBaOUy9aN5HUkQeHSoUpBLzO1ShbTpT8mhmKYv8gRQs7SugOTJrqi+YG5wU0sc
IEHSwV5oJ4/i7EQMyd0vrifcvE0Er7Iy3S0R0GbLug218Xo2891sPUaK7AGKXkgZ7XkbaMebXSuy
izyREk9qwue0YlWlB7Mn0yFgvIMaWVKctTu3TKCYNr0yOkjfjxLpVIyP/Ekj8lfHO6NRn8FIXCm5
+gtFIDuL5BfwDVo9vtLq8F6xWLNpdNtkoXAWK302Y/TN4ZBDus3iG4Dw1jUUIzvze3oIbowem1g9
oKl8mstvBRvWhZ5rv7j065tspVPRNOpgfNoc6qp/kVFlm2nHrGXBcdazR/KevyM0ORrGSmXSf/Rm
+BJNCyeg0d/ZLKFtFA54ZMqJWGMH4BHAcTRlghFHV4Qc4mTM2uSOa3ZA6nBB0wvztleX3q9WLX9e
qg9j0T1GFUbNcNl9a6pkP58V6B9NRw88elwHA7pfzWTi3FRdD+zul0DO980cP5RpDF5btVCWVz8X
pW2YaLO0Q2eec2nPt2LJ44dMQm9u6pjJ1datniKcTCeyrYVQO79gfjtax6KMFGVTAUhzmi55MQzu
aMHyOEvYM8xmfD/UEN/nQ2SrhReAr+SsJDsIVwPUdNgfplo2Pc0i8baoyS6xH8mqhp5ZkFLB7XET
TYi5JL0CIR3O20Cqvs59fuT/oOAMxtFLzJ4MWDxFG/JCEEvKkOhl7uZtVSd3lZT07ggsyVfzCtQ/
v+sCfvqkWn41NeTghCS2VZk8iIEXpvUXUq2W7pJlWGoF1zRtw6IuyCBa1U1hyV/LrP/ed2TE1EqB
w7FehmWx+EPXPnADwvBmQn71luay42g3EKdj8kJK0rYrENohZh6luB3a5keWVQkAYLx98M2tnUkd
f6TY8EYwN7KlirbYH2DemkDUl/IbdOrllWUjbKS+5LX4TbhJmz5Vwnhs+VodPcgwn09Hg4rCI4nB
zF1sbu0mtIQEOz69xW5d60d3Fp0neukhjTJ/mOwLtTe7B9AXk7TaJrItoOH2UtKc3PE6J5Ds4ZZE
+yEsOOqsHLeHxMCcTusrz8Txy5bGcbOMJtAIEISi/wpO/lVvI682hvvA1GEBluIpn0gnmUtBHmeq
MHlsSVxERsb0UljXWCzcZZW+q7hYAyuCmzMQGsYmJHqFNRHL8+wQDjwEMnkRyejImpT6t3nRSO62
7b6AwUCrbe70lfysKRmdEGHCzaPPD0PdN5dZpJLzXZ0RqVwxjxvKHZwAuQKrHk/ZBkMTe/SoXTE3
SuRseg/ViC7KLbYLXkrm3RPqrPpJoz3LvTZsMkmFWcVpkk/hCylsqj9luzPmuXEFfnmbWk7eNley
hRK7uFFeyb1yjXls4reAfFyC2NDBPp3Kc1heThq4Vz3u6B3GxJ0Efqg3xl6KwcytXiSYY3mhUNh3
2h/2UKYX5HNNErD1E2DK0vnPi7r/P5KEFUGVFuTy/4YkfF+9hMVJwZe/8F7w1f5RFWHRxqwotk2d
1qDi+l7wlYT1z1r+X4u39DnTc0u9/t8lX/Uf08TdxqRYzD/oSv2vkq9i/kMvNFpAMmZCVnWay/79
yW7em5He4c+fk4U1xVpLuu9/cCULY3SuanQFoM2lyd+0qADz/z80TVaz3ALGGn7FNfBEsSKE4lFv
uPhm3V1hv/RY0d/H+Ft2RfGo4Em4Ouu0cad7pRp3fiVNy1Wqawt5nBhnbSOYsXaBr9nrYnKjOSqv
Ilm+TlYMpd3juBdp9whX1QP3XawsYqePSUP2HD6X+hDXj0KAW2UJPfWSUCCITylpr2ndcTL5RUlJ
1Tdj8TUbJHwAENGGXa36DRTmR03Abx0SPd0OjYWzQ2+AZK0p2IWTlj7Mkib8RXudmnq+ga0irsPy
Co+X6Wbo8i+pZbWHbsHvtQ7lwBuzCgleosSHrC7uGlVOL97s2vIKf2hLPlhlF/rtaKY3S2OR3TaT
3JvenBf7gLxh1381uRnfDhCHLt/dD8sw+PHmJ/tmWhvF46vcm+O+bclmFXg3HfMa6xVObwD2tpns
C5NszNDKOCWs9GawwcmWFgCa+le7DXrRuexX/f7tI1dJemyjZtqRGLV2MmfYvq86nCGR3VOGi6+r
RZqvoiRUdvYcBE489/Y+jKcy3SQVybrGNGlwsWcczNZ/q9ZfJkUjZ6e24M1Id9MRJEkA/LFI9Cur
ABhczfNVh1fRlUyT8XEKcwrqEkWsmitsZ2ziPp6fKbhnW2px6rYfCxmi/KXa5fJAam5Wb0LKLPdz
TLVr6mtwFWof3ecwjS9z3b7Jkk5s275iTmnI6XdvVqdvv3QJ/rNzoB2y8VamOkLyMdWerGTstmU7
S9QHHxIpNy4US9G2caU/j/FXDd7i3OSvnZgs5/1jqnZ/UVOw5bJqlBeyNsNiWq+zemCTWLJrYzvT
BnGrxEbA3qtgmpGnim9IACrfvkXVLugpfnsay86jfSba4qZrzMk36qV1DcBd8PzpfID0TrAULMHx
7RcQqWLz/hG01Y6lTiTtkEwkxuZ66O9GbY+n9kbCjBkXJqnaFJokvpNB3pd62F1Hk3aZJpp0wORa
3kEUQnew2jO/eaeZGm6Nbw7KllYTi8YJphUUbzzF1gOnJB12o9eX2RxpP5qWRH03UQmok0ejHqNt
3rYql33QBG9GUAXBDr1IcmNGxzdLG3t1WX43wtKBbPmUSHlA8UOX6/giVHE/QaDWH97fiIRbzrD6
nC6o8YDYRdAb1fTrqGfWF2kIcSQfrNcip1j9/jstETuLjCtp9rWzIzDCy6KEiGXGAmxSQ7Y7qgVu
1bO90EORdL5Jb5gn64t8jwm7iVPf+2/s9T/jlB17oITFBSaKEHfFgyj1h14gCSyxRbxhq66+Wr3x
jZxOeWvF2S9rog99WH+np1bqS0k67t4f1crCL+3Ut9dvv9iVeWM28z0CU/lQJIVxu2KebeipLhQk
rAxjs7nNKipQiyfhB7ZT87q4KdtEA+ma4vDZ2Ml2WsrBffuTVPToLVnJXkpal1dDQIMEwDQyPd1P
q/gVhTq82lSLrqJ6GL/N44IJnSECgPCsWyOb1ItRVE98RdnWDsCZykZVfrevI70YvmdRqRN9FY1X
Ghi7vxk4Sh2mBgmONiC3sMMeDOURn/QfRk64V735xYJmVUCPX8U1idKZIo+f2/r4RMfYVTBGN0Ys
iEbEpN+n4fhrTqgsjsowHMsstf2BloFr7F8tP+xjbpxh5eMCPoEXhRD8/jbB3cUXLeeDa1JJ2Y8E
7FCsihsTIDdvbTliE/tFSsLkXgoJcMpJHJpWLr0gWyL6bhrjvgyyZ8ojAA2iWbqcC0u6NADDLI5c
WbkX6gb3gsbhpOldGpTm536hSEIi1t7pES5U8Izn41LIx6qD5Qq175e8LvJGt9jv3nZvqgTtTpvm
3erfedPXUfEQJzidN+k196V4i2VZTBknrp4ItWoXQVu7A3vhidpqLt5+UYzA2tryUyF7vWZczW04
YsKjB8mhHNQtG8hey6r2mop2e91M7KlmCZ0SUOl0mVZUoOoUY+shnMqrsafXZZoDoFBtaNznTYVr
cTccqol8odnNNZUHPn3YcXWv6Q/A6T2NcX5Vxxrg2HLLRUQGoUpzg1X8L6rOq7lRJUzDv4gqMs2t
crQcxuNwQ3mCydA00IRfvw+aU7W7Nypbc45tSdD99RtVcu0IY3O0W9/uF5+o6G5lSbbi9lfe929x
A7LghgZRvoOrLtWsWm7rJF2HqDyIyO+enYGo81w5rIwsjau8rsvPjKBo363d775Tm9D/XQbGwneB
2Ms2mHZSgfKS8o3uGTkOjYDSeZVC8YKEue6zVD12DiIjD3bxvXanH1E6T7SegXcmQzoe4FzrjcPN
S6hIQDi+am+ek09HGgk/RvlUm1b/4Cyf66gLg9ONr/ZVFPAO1OP4hN6qX5mBqh+m5cGbjeIyEXPb
zZ3zc0zSLwrLm3fT1WcZhGAfBghGLgPrnBO8DQ9KYVw8NxPFyuYDKoqZBpZsUn9M+2QmNcITmzry
FpnqQzkT3D9th8BJCMCts3NJQBmlrMioDBorL6KQEShoSFfZTPpq5JfNx9hrm2IG8ZsUuvLr/30R
xzF5+p2t9qFnQMET5Uk+t96FSQ2Ruiz2yfJAjdtIhzPFzYRfbHxEHHtSpfuLGjPEIqONzdD/7Gu6
TlFLvYcLVaFt2iPtjP8yLYbs6CjtbqqAXiQG14QBDt2ZIqnxwwv5TQZ6BtOJjGOz1GBa4Hor1AXH
yVD23jZF9nx/WJ7KJtEcDameQlXNOzf23wVchwSSSZyUuuxS6x9K+DcnjMKHKFoiUYuAuhQzOwdY
WF/cYu5uY4meDnwn5WyLQMhM5Pw4ET+roTmf7cr94t4K/VM81+2xtisLIE+FzDyueXA5aG9zRopd
G5EpqMvI3SRDEFzDVKP58whKt+sEqo71LlFxDQIS7+8rM4G/7NnHue2vWVJWb4aZ9+t5suen0J7S
fadXrgD7T0I7eE279uwakfqKCKpFWGjalzmah0tktxTDcbpjaFLwws6MONz4nHUCuGJE/h/VaPJZ
BUXhw1hec6/yr3UH6cBwI9+ElX1olxvCozJuN9Jl8JGNlFgK6VHNCLwVl/JvE2jnLe1LAr2GiIZg
v3Hf8H9SFBYNxbn1vG3tK7E148R6NkSLu6HLNoMj8kdStDXk1wRMOg1Myw0Dx72Lch5665oY+REI
+SHIM++nWBo3mj7IVo6Kumf4e3TIuZ1/Ra5zlMRHDm3Qfo00TjiQh8AINmpQNAkj5MUfzdN1r5On
IUL4R6dHftIVZEc+lu1TGjXRnk5IvRjuULAg1eALM02mqxtJseMb7/4suqr7dhL05O1l4+xvyz5w
11aVUcQllXdpkNBcuPARcVZ0c4ykbF9HSq1PeU0c5VjzFjZi/CgCa9kR/Dw9VXF9uW8Vhvb9S2kr
eDnbYHLqO31jW2g2raZClE5m+whVBNdfyelAEeW8r8KQwvGwCbYGA+YDKXLuQ+CjuNJ3uVFpeYcp
FP2VSAdefDuTFsGOsCnGvn7t6SBZNbHqzx2MyrojnO6UzATgLEPz/WHqUJOineoAjDUM1rwgq6iO
MOiYO6+r3AfUo3LXWYKFp447YhuGlrjqKfqzfDH2Wfvue8aLcp2fkH7+kdLbdumbo/RNmbAuRbXk
yGf5peOglVtd9mduu+88kd0Pf3HAu0lLIH85+ldhy3KPrva/r5YPdphFcr4//7//BbyWq4Q4Kgce
CYA8YaKk8J2hT24Gs97WLJZgyRPdm1ZC7I5joji4j9C2Br2iEmRFwxEuCpnIaNVPkko/S8cbC74u
btP24iU1gbiuwRao4/qTOQPNaTP9bkPiee+DtjeH3ibL1CvCY3bte7/rWH3TRQARkDhMCgFCyCab
9Q/OMvqHbU570y/sR4QsSzqscbl/lJXI0M0Slrtm3R/SLrncHzptg8IvD//nuc6XhzQvCRS21Nrl
UjzRGXEM/Ka+zss5MnX9i26t/FJM4G7eyAd6R+H+QXFxlmzNoV+R01xSjsH+9W8TW/astIwdOt/Z
xDYsgOvJHeNTNlD1ELWmc0X364Lh823CDbal6xWQPLT3oXSZT5Iw/pGifKiSlGZwfusOVOmztjjl
KtktQxBBrAUk21vocsyOG+sXOFiwsofoS+ZJetMhRSJtUgRbeFr9MhXZfPPQiTCG9l1q/TDoan8u
42r3b3Bcvgvyeida8P5adtgH+r577Mc4vagSycTU+s22QAU5kdWtCoiuTBsBKg91gFCvn/JI0/Uj
FnmjTUdCPnrYKpbJa/kMK9X9e+qOJpRlVO8Nn5rXLi7oVemd+DmOy089dp98cJRIdql6iZywOyCT
R7M59upltnz1Ijrq7nqUxYxB9bNpSmSKbWPsxjAPkf/wZ3RBwdkrsH5ADFocCUw4S91ftM//5I9D
u28Kg3DBDP3TxAgKPDrKj6DIp1vTzv5uoM1n3wcIFHUV7e5V86XjHCPD9l80hSLEs1JL82jURbHN
AiBGDrpaPRTIwNHXeb+jIuBOyIPutaoq1nbjOwvD6V038763Q3CRlCZtEVU/65muyx6zEzmxXZKv
Qi2TbZKW1btr1A8uJC2h3IDhFfrK+wTtFAiRQ2lhDV9m7qRBjh33eDUraKf9bPjmabKNv1McU1CA
ppRY35ZDc682hM9lt0x3Yil6oOF+tqdN68zjLh7HJWx84H5sk7A7wasX+95pCPdHTk8Z1ZOVG/pm
IA/KS598Xjh5OT1Xvv4Ck32iP7hfl9YS0h9Ea1NiHBDWizDqlza2Xk17kkD7lHZ630E8bujKeEvc
7KXMslfpRb9iARJPMOJmnlH7hci30pLjvts+o2fyWso+bDc4Z4mQG2Hm7N6UcSSZg2KHnHa5zYz8
oUuJhxbaTLZuvyUP/NR25n5SGfDSQE2Ro/xDOYvPTKOLIaDcrL1noUwDnbK9iiL1o9apfTai+RIF
pCqrgQrMoEHFvbQyC3NqN2bYosIas71hUcRQ8c6cUe5sUY9HH8QZb+jl/eYk4W7qsMPmYE2/IrL/
6QKy8fgstdjzwGm2c4JV3yGjdxAOX4vmt5WWJeUTqGVceu9hri6+OQP9Zpc+Ia59lg+hnYRbnAqb
YvLsfURPFUUhjos8w35yxuAhJTGEJQdtgux3VQkcVZUUpiBAu4UStimMUfcKH/ETXcUPPj1AK8wq
7sFupuKQ9tLHI2E9A6twdUT+W0IYMzWgbXcMqsF4ad38M50TXEPT/DMWKatKle+iwIhPvTDiA9Rn
U0bmLYylddOG+dV65XAMpb/rqSk6RhPQtlln/VXExj5vMIa3dXIJ2VAuDXDb2FjyOHADykq1mzJH
iQI4tnV/F0Ytduik+GPZ7bqpfXD8H60S1bm37S2BydUrWvTt3IdP9AaFf9r6VswGPpDJv1VUvNPH
J+aLsWji7H5PAKZL7yxAiophSax+aS8ZnwoqTDZZN244tJqY/TaGmMlNshbNp66hiOV4dD1OlwyB
5YbUHyQjDWKHOoQxKKgcI0H0qUhhZUWVV4ep9HZeOj8j3IQsiSLYeXX0AoK4bYMUpGa038Ky9H7Q
s+LtXNhG5F0uUsAERUAzleG1W3lhSnlQ49enmf6iLS1CJa/ESg5gV6ienerJmMZvzhjfWYaQaQ4h
4G1JULhwh8XHgfJw6Heh0cgzvMu5yVyK7SOYe/SODrF6q7CRnESm+gEm7aSltc3IgTjYMtozDqdP
RX5qq7A6miYKrRboYZ0AgcAiOQgVuiW9XBKq31EvfaXmAG1gdW5KOZ+ExTsy96S11jaJA8FwILqZ
p/qRgHEoIZQSU33UkYKhCb6dGOQwzaxsDxFNAcaYvEvRfduv0Vw/qtSsn6FrIcxKdHxws3UO3JEB
9AXOz35Q8VYq1Aos5aeR5mrfn6ttGwD1ESYLYYzFeOjOYUfYu9lMa1rOQAfMBDy5sl7wGG2iMG1f
Kjv9rJME/1EbVCBPlfWmqHYL2/xkx7V97bW8mbH5GAT2H1MuzHz5ME3dsHZyg1LhqnzWaUpPJnEd
pzmmlAutY7Jo0ICQA6Asp9SnIBge4q645E7kHY2QRhjfHk4YnvZzhngkFvo3WxRk4WDfvLF9EUNq
nasMc1ESdBSpfEICcYKcib9+TuvpZFqJ8VkOLe9vziieqGZltyZoxeQHJ20O7yD2xQZx3IdhBs1Z
ehhuQiLfLLqFGrdxGSrrnB9+amfKeNVMsmD3GuXp9/IeIATK3yZ7+m5MB8oqQWdBhdkN7vfbKUV2
rRxCfyXA1lXH9pPH0QMcxEjR8VhFFdIFlahLnuOIaY3iCBp7pAePai3SffczrYXPcSfiZ5c2K5iF
NIXLlNCKVMR5N3RhGQZfYexdSu1WwsLC4c+kEI7zTbR2eEIq+6KknHdJ+DOxbMLlOSeUQbIereBH
3pd/Mu2unHqRXdtcBnjN1KaQCD0F/XGAAzgpCi7NoE0ZF1GX+4n9lszTm+oE3HwVnmMHIlJl5ffc
u3ipa1DprlGcB+152PYIYMDWtL1qJxGBQxd0mQ8So0LUw/pN37VPp65bYeEIqsfCMR6yKbL24zhk
Z8xRJkMPUjV7i6GK7LdmlruhMTG2RPLTUS5WFF0+owoAzI1sePSC0+mAXqyum+l9KvUqcR3M3eGM
Vi1E/FQm6hEVwbSfK5ckHB93jtGfLIpMVcA+2dPZHLRUjXUNwnxD5X/A65EIZ06+k7NgZHJ8+ZhW
+oFZ91c56zUTGlFf4S1fZqnUoHCyaXV8Nr1hJK9Oy50zVxu2dWxfJlSqT9K9k9TuZUrzBRYJNsoa
KP7oG+Omgx/DLAvcX/YrP+6tKip1tBhzOBqO1laaJm1sqISvJZPz2u4QP05eEcLsVr9YUr4alHtM
XbSRT+QUGiwoKLr139lt/g4BF7tTU1JBaRLXcLe3W7v+bOhkjDi02UGY326FoiC8yotdkTeom2NE
5QVUQ6laLn3xCctGE3jq/o1HspCT1CqRLHuPsahHnH/2B+JICbbT0mUXC2rWSvGW1aGzb+RrA8H8
05TdXwdsbKeiZu+4qr+R/+XueM/+Nmikgjp6NwcrPHKTvPpWU5/kjGTM8Wl5ZLDGaAK/lfslhpKa
Xgs0piwTXYx6w8s3rm47SjepNAs7wlNnguusPN84tvdHNIDkjv2X6PHfvT0CQADlIGZIXyPfOXW0
alGHFJmwNfojqSVTbpxj9xsUBdvdj6YZ6Yh3ul2DZmQz9ch1S/1HBEhdej+nTWNEYbHCkIffOg6o
X556Z2OlPVXBMcWX0n8aqoADT2mAuOK3XEU6TnflOoGurrtBbXtRiJMnxmbFngGC2cv0aMQ1QVG1
fk6Tv5nccHIQ1DqO3TalFn2OxIdOQA7kuJTRp3jHtJTUOTfRJiJC9zgrwzxWi5C008WeM9rNyofw
KFIbI2nSL76YeKXJ2GIGxu7GXxU9ukG7dw2/3UN2bcLEZ7KLzPx1cB7xD/WnSnrVgYYwCLQs2rXJ
YnEK+vXkO+6n65fjKo2d31mQSzwp5kNKfu1QNnBHWbQt4RSRYNMf1JfNp8/giXFyyDZBykuWHuIS
T7TGTo6ju0MKhqSiPqZJMHM4AfR2F6dPWd2QbxrrUnd4NGlh3cLzghc54WU5QXg11oo2EsZx7v/m
gaIgM6lxa/XeJZnYeH09DOs0lxdfNpexLI4YHLAx6Pia+dEvJwPALOKufDLT4pR4GBulPXEflfrg
t8AysCfyGiFR4t4bPuYZOWJtofmP6SdaBU38FWQBS8lcc4G2xUXTK256lJEXskwQwpExr+TcnWTm
4sxU1FLWkb7xaV5CRTcX6yGMmbcXc9mc/BETW1uXx9DMsW9RQLmO6sco1sUOWTXCmbGhhdncEJVN
YragKAe7Dyac7I/I2uYxHeVO5pMAKlDojgyKKTEdkKjB1hEZ4jd6/nyL4VWvC0aeIKJVeTS6JyMR
YJklXtWspQwsUkupj+eNK9sz+IcgxD1INQu8xvS+zEplmyAbGjrJMbFBwBPX5yCcqFexrZqXbqGz
HWkoi8Mt8SlyIwWVI2hxjwFnaqUncYjzX4lPlS3sAYhtHm3K1HnABhGsjdGbmQ6wVvZ+9uGQ/IRi
njuWI2LpxCGWXYcWN8NUJ9cOQfvL7GQnMScXu8DjiqWaP8LM9nOZwxD6b8p0vosMhY9yH3WBNziL
sockNeDQwSekRBytLehHr3mhkrakgHA+Wkq+GQxIuIZwvhx9y/hOpqXnpsWO7Ikk2dhe+8eamnab
llF6MhVuY/SzF3hkQJsxss8jepvLYBs0mi8b4+w57Lk8VFM8nOMwxmmQ454wyrf702OGTj+f9Wuq
Q+fRWfx23pLeb1TwvvfnarH3pY+0K/EYGAyz81At+ggDKfGiOzO4wvUzr8wJ59alKcVM8g0/lJqP
tqiv94c57z/M2hV7M7blvhYNF3Dvms+l77Ynv8EDfv82sFHoOVBcdTo8zoWw3/w5qLbgFyBYiGeZ
ugK9zZH/rAq7hlCvUthnnACSKfMUCc7ZpdTgdAYrjpshPyjqoTzP81Dy15siPpcLw6PlmF/mKuqP
0sIFmLizIqcis/hW7PoMZ7Dl0d41dIVczXPtbKPZjc6q1tFZynj778eFHaqCfEzVdrEgvQXYvHE9
rLWVuOgaRPno5hU+CcOx12IQ8dWKdUDSC2UIafS3XBjoZOHTXHf+tEv6lqiznrbwf95ujBr5Adxt
cOhxhquD/7yK3fijwjySl6E+NwNKsCb0smfgzSdfKecSzNSkibljvQoGN7+6OpseaYn9QBHnvYR4
d5/t6O8iz/C7AI3BMKmn2Dj4mW/t2NOjXTDI5kPhtPBqTP5UuC3ETz8z2jntYZzs+JGheptYEjH1
ZIRnHxOAlpzX7g9JL84x9YntghHFth+fTCdA2Tl177EZl78GnMpmYVPo26FzHEW0aDjoCqrc4z/Y
FHEa21Ubbxmeg2u2PAhDF+cmprtwlMHZXqoURe65L8ai1RjS6KCNXl2mhQELY1oKrCZbZwPG6/tV
eP8RdhGbO3zrNPBwQT6QQ9Pz6VHnMWhmOi9UuGYjzzsj9y4RjnkCtTYzS7Szw8Y61S12i/tDHs9S
4onCnNs2iQ0wDRRAf5XyLyNac7xFSHFXFlIGUBcI9DrHfFGiAH+oujF6mBrb5zQpWfkWbcE0NdHZ
8Ps/TmoMOwE8Qdl1cSmCyHmw/Nl9SMd96U0s4ok3cpRoJ8KlAknB1PIT7w/4iOCBI8Wg1Vg0VIoq
NC8hdm8umew84nQobe/qdna/q30cnbEUtIgLS71kaTev//30jjbaBmMeDWaR9RJHEdiAGcwuBn+u
I5+gICSZ/L2hGWHcvaNLhVuU6/v7jkFNXdpdPznzOnHluTaxgfuLLmQGdySOYTyRrhpfOeiwdRXR
bpiq5iZb/C5uUC3QdM7rthF1J94hnabhpcFbIsOhuUWhpVdZjuGum6qRKghd5pSJD7/DDJZ7Mn3u
1rgNz+4IJtyLRp8aVfyOeyUP3qKqHMsFLm4mf1d5rXrqI9rhusq7tgWJEP9eepHKaJ1w7j9L03+/
3w1559HzAJu+xstBAWNOC+P9K5mM064Pewr/2iC55u7v+29xOVFf4+BYLSqjZhEdcajJL7VWz/9W
yw5PSzmVOX/s8N9DbJPXU1vZ2Zhm/jHPGVXiDo9pj3SwVQDV/77KYufUB8X2/hncL5f7B0EgGH6r
zJ8srKSc4xqAuSpfLkcfZCrUhCv4VSp297uQdJyZ/djq7JtKym+/kRRVLg+6YYjyBdZhwiWfMEwM
h9LP+zPsGOi27byRj9yhXu3da9m6f23TG/cwBOmhz8oAQi83rszrycp1AJbm1Df2ALnTe6WIRnOM
4kW3wt/IrPbRPeDFKEz4M5Qz+/vFAZoHu3/KOL70RevfyHXFHwijw3tkbpLO9A+WbMZdlZV7Vqrq
qwqI+RgRbq1QppAcWkz5DmlbfRLEjPwDbhlHL90AR3NfdjnQ5ad//yDU+Dc3knJP2EW3KboCDROO
yySk17Flo8HK96T1LA+I4giejnK84XXZYzv20YA3mXmwysreCi5I2tZKcgI1l69E7nbUdkr1fCeq
h36h/9OqD9eth3y5a+Ueg5R4RXbxjDyi/C3nevtvkdNR8z5YLscwxxyx8C38yb/NpEXJfrKacFxr
YufZahB5hx5qM4VE7U8WvVDn3R0Ga6l/M636aNacsDudxAxbC/I8LeA3mUh037h+8lQfG9/srwYi
1kvYpNPtrkO7a6GkHl0qHZsNBkJckwlkzl1EIANzSRBheYaN/Bvjl3v7d8uLsdomWfaH8JLp0/Qr
eDdc6Zt/LE9o47m9q5qoIIbodpzHPNEXkw80K3Ljzb5zQX5S/TFoSiSutXi2w9h5Xb6LB0bzTHtI
byDeXiMiaxI/rJnWaVlru/FKmLG/Q04tzogTN9rV9uvgB7f7bomMBacI/5sss3FvjgCD04Km33fM
YfmKImj8o4ZNQP84pBt3dOxPWqC2s8B1eB8IBodJ775E3G8Ya0B1JDCGYFLGxnZf5e4PczyVG92z
bfgpavtVY8r9bCXW62iXz3Eu9e/Yq5/jESTOniu4MRfbTpfvyi7kly9L0BzioXfcBEdAO+T7yKXr
/D58TS0geJf705438ZfbwmqYSKusIvOOvXLVzyFI9mkOWbhg+7bKHn061f46CPvnSFkvwJf/XnIS
+8PB7qevf2uZ5U1HNku8SsuG3FGUfuixkWZuRPCGkMVHneqneeqH3xybd47bj693VRG2LCFPHSza
b5WiKhA5oBGfiJ6OLGXhcWh9upvr6NuKi+6nFxgMKiWks6cmpIeaU4AI9WLW1skWfQoaToIYCLWj
BI8lR08ny+FwPDZG+iN1hn3HwXlriVMFYX3pu2qJn1cvhm0hV5tM3q5Us/Z2bkVc73zN2JQygxq0
zlEnw8o4co8c2Vj8WYC9AaFT3Oys5fJKR6REWRAerRIvRJ844YmkEYIicxQxTTwb29jxUFF6orrl
gzGv6zKad6IxzX2Lsalr6l93OqkfIr3xYuybac3ZimgeNhDseQeh8+BFOdmv1lDNS06R+W5Uzm5Y
9FbeIL/y1HcujqXpD0rhiE2tnvIpKdbIAdWuNLr3hsrzQwV2DTP1Xg7dyGjV5Ydq+ZaokJcJ9OV6
/xty33/PJz8/V8L/uBPdriXk1dET/HqdftWuO6Fkr8ZtnkVfd6bOZ0bfaCk4RYAjPQ4Kn1joAzKk
TdA8VCKiXHJw4Btiy3ugxGghOwWY+coKUEJ4tfefhs6CiATKsuk0nn5xEnfQoPXd0XEG1kk1XoWe
NSpCk94Pz8fGNPa/fCOeD4YH3qWaxY/hkKQknZglKoqnensfCVJRjDsX09O6a5IWYYgcYJ4e/i2W
CRLfofgBIgGKtkypdTW3sPesb2Iok90gdf0Q/eKvtk5Tm+jbXfGYZQSB5jA9+wzE6hpmJUI9F1O6
ESTxzaf90gL5eAMzcY9qEJTQivDUG75zTG3z5+CKZ2umldUo41cZ+cXPkuiiHZ2cONNJibw4dngw
KXf8bwpy7U49mtNbNGTpuwdPZC2aQGLFsN1O9jEg5AYAbKBeZrn7WE3CTRCUcjsMtEpyzn+4E3/3
h3R5H/nxJxWl0caqi0e/69OT20Ws+dRvJnM5f5lob1a9gcl/QuSwA3ysnv1++NHOpvyg4+2hzRjs
xQAab6nKecWeAWeee6QHpOmLG83wl0kXEymSzudM+C0Nt4F8VMPH/aiB+Ll/rGzXfBTxjKEMbcol
txrrUhrm7+EutQvLmtr2WFyRwwVXu7ODaxMwSPq9TRdq3+vTGPQ4rMZbpTgLOxEEO5PyCOqy6CLj
jDRGYd0i8iWCKfqOYwdVgyHsR8rTUSSQRaXqDmYE6U1k4olKguQnWWX2geM1mHDYPzkLXRXA0bfK
6NFe6r/Q7IbZVA+aAvSVjjxzazRHJw6KRy9+9q0QYBZuJxLDo0UI1stY7DzDQCXdtZs6MIJbW7C0
IqIha2bOtmVbg2UAv2Rp3e7biRgIkj3Wg+txyIYtR+pZ0JbnN+lmiMIvlNH4yUP/XJaFOPhQooa8
YnQMOX8dp3CwwbPya5WaK88f35k/zF0uaNpk5NrHQYdfBYnwCn0dq6FfH9wK/CVMHumWxPgpEHBx
Rv3qYj/aJK79t+3Vd1P34d7MoktMd6+B0m6dROiKYA5++bOx1zoIDlmrwWgT8dEzvh7HND/bDg3B
6EVxx+byUDl6m8TBvc08Xneyb4k/QecBcbZJo/SlKZIT0zOePvuk0SKaczoC6H21JTFqSKf3ViHa
PdE5CJJBnkk1KS8Foxniv79u1AgU8rNPaI4kP3XLa/srLLtfxZb12IUTgXKc/T3X0PshDVNqI2zl
Ntf2xbXt8chn9dHQrrNytcqONGIde403Vxrxos9+K73MuHgSY2vVxTekz0amKFieIDqj/qscgdo1
QZFMmoM6KtT2QN1iWaZBQeT8Ny5oWzWxEK6Aqw5wL2qjGrBrDG67KTetYxE0BFE5L9OBBZ3ElaKN
jobT/lY6iw+ZIqQhysAfSM96qAdSBCjsCxhyN8PgmDvUnkwF2BR2Y2C4W3RExQ6pNfe1j1WMu2Aa
bLLxTG/vIjDBYG+edT9+zY25TolYW/CBdh1xda9MMZ2VolY+E3zAmQT2Yx0FbUTWnPG+Y03rKZt1
JNEkiuBLhRnCXC7ambcoIZnEzprLlIQvfuU2ZC4YW05FaJaS+bPzy+s4kG9BVtqLbfh7h8F3DJrH
ydyDY00mSUwdRGNcoMUMYTEeOHMkh7IkRyF2XwfMD+uy5XfVQqFUdqAUROdf36XmAsry/hPRSrRu
MSWsQuVtTMMXxypKTjhxRRMdPJnCoLnlE8f0rVvZyAXzCp9qCCQ9FLt8yFHNkEKHsND7mU7yK40W
tQI0a9e2f4rYv0BURCjPc6DqrhlOZOc8hl24HcnkyIHdCK7S3yiin7oK4jCOe8huPMVs8aw9Vfar
8Zr386z9j4x/SURKLkaQhVu7Sqdz3z65pPW0/nSQqtpluMUm7aMiJkKL0JRXPZvk3CPFsGbWu7DJ
ZxDLcCKyh3xAJiYMMQXpLF68HwK7WQ9l/9Z57mufNdxly7aRl0htsX4eUJniGOPs1gvq3Zze4wDg
IHv2/C+RERlThrAt1rDCOUrgxEBGkK6/BjVjHgTZFY0gSisvXPzsExa2OT9E1rTh85fE34MEA2Jg
n9vHMUUwlbXvlDJOtPv8ned5Z9fwyiw6M/l3W3fGhRd6qbOt/+UoFj9CsMGtK/OfPRfStkErHnjk
73FF/3Qly1NOuzhcusn94AZ7hGMPGGObreFF4y5IENIrkxy35Tvk2LemgWG36xadVE5GqmuDuXv9
gVHjWE3tl2nC9VXktkBY4mshsdH5Mbc//BgCqyKmEWS6W5S1NUEk/nH03XCninX+a4i7a4SI4Wz5
3TUc1HOtzerEhEuIFzT2Cx5aZqomuTDOqBVpO7/MHjTSCtV6GsgDQ9ZAJmEHOKmEe3EqTtCEDZG4
7Ns/Ka3fYJcf0KEJuIEeq15yM9r8E2qai70cmo0yxl1YFp8IX1k624Q4gal/SWdFBLgdPrrK+ktS
UL6jNYv8jApLvKzfE2KPHaRaJ0EsSV9xuvsYsIA3afnNtUONmQJnzHDPeH1PF01VnLhfH2ur9Hdz
c6uLVm9TDmQrWNEZlqk7GzInTsOAgoLK4kn3MqsJ42Vk+UdBTIKbZggWON6sxUgpSwqWN9WRsYXw
++BllZsigsmpw+qF7KkaERxxwgO5CWVmjyvAe+PsVz+RaAbbpuS2tLN45zcGDuGsC7ZVctb8nLZH
wGnkW0fnz6NMjbVjA+S0drWTGDtXSH7wNESwW91Dhnp25SOMJQAimnjAG1qS+MVJkVot1s1Vk8jl
UEzCFjfSK0qEjFEofi7Yl9gjiVWsWSJ8Qu3qhnynhoijdQCoHowIJELgOkRg/VrO6FBaY1OGCPgg
MsmuK75GbX45A13lkXvxmtjYmEiOj0FonDpzW3thtzUEQWiNBQlhtMhd06bGJlt2lGnUKcq46QNm
cGUhCty3ml1YpDs5NvqsxABL+t15cKGjBfWfaYESXRD9NOYnDpn0Y6Tzn0DG+a2tFVupIgVsSptz
F6Y46KKH2o5/EBGaQ6iLB9M+dKb33Q7JsJ3cYRvWpGPMhv3S6uCyCNrIxHGhf9GRVDFZ8PKesoB8
nBqtcCtqzjtO/j+Undly20qWRX+lo95RDSATCSCiqx84D6KoWbJeEPKEeZ7x9b1A3eqydW/bXREO
hilKgggCOZyz99rD0gZEcyxA82gEOQA4XTdkVdPFCbheGiwNnqYtWKsKLpN21mVJBjJh1Bu7pUpj
3MAlbLD5kOgBFSaTQ7av++6L9L10K+Uas/pGmETWO2aIsQppNWP/tc0pyhxIlYML2UxDYJuFRLPj
Gt+zDdBYPJn5qrkbAwPHb//cECG10rmDV/AKqJn3fIecKFtED5mo+30KkyNuzXv6PcaqrmdMo5Yv
VI+L2wRsoo3pC2a4r2kFeNZGHNZqCLYoJ+EkYJeyrL0IzcVzYuTskGetVyro6Ri2s01b79AUsb3R
Qsh2dPCMiuinLj2Q2vLawG1b0dXkZnQp9vjVFK5M03jLrfSpytCsj4i8qsjdOtZg79MWMbLbJEs9
D0gEWHi1GPdom4PNWJ7UYO34nBGQFN4VWuGJNaxxM9Uga4uwW/V1Nn31MqxGhnyEEMYgXV/lkdUt
RT6js1AWLVQJw1eb9d3ZU02c/DKKn/1Knh0vtVZU0XcAYB+1kXITrrjXDmhprQWfSBe9tQOhLQur
WLYw0LskgddnhB3zMH+GY2N7dLQQvi8iu8lHss3yKYj0Nwb2iirQoytczAEDzAXIfYiBeHMqxhDY
03pcGGkq7mijxKN2awwe7WTv1rZh2XYwkiD9rIWR0PEZHmtV+zeOEue23jWDFTxhqyG7aYZvhQ66
Hrr+mxFeU1TnX1vzqo8w2zchL4clyIOsA1wiJ+2EGc5hRLI2DErhUfenqxoiQarr/rqMhjcbu3Rl
O4qf0pCZ5fHZHT8lrjwnplujeNfDZYoscGuH5SujHV1RrU8OVay/0rloV3lFPrVfUg0Zw2mTY56v
s/IxxQjrWF1zlbSMaFR25Qq9oeJsUpRxUnWbdO7VQI/a1OUnoRfO1p8m+leAkiwk9wxKQbOu3Fot
QlOti7w+eQ76DKX1b2YaHClJGwuzcJxZCLoW+Fn2GBrPkFnGQzx2t71OdxV9NUtRyhsLyEjsE6RW
rku68Hp5UySAD63YgNcbEslg+dPSGErzBL7ZWxFnAA5Kk9dFlvZXFR1fJqUpiOLVYOdfNYfPG9Rd
vYl9is5xrQ5p12Jhl/GwMmo7h36Qv0nLA2uOLgINv7gb9OCL58lqocfNtAs1mVL62RcSSd1khXym
2G0XvSbozXX5q2uULRYVEgyBpG8ZsvDcSlyGMtV2julXixDw0Jbcra07adcZW5rdCJxKM5+HYuDS
7vuFrN2QLZkYV2DDzHUYevRN3V3gdVfhVD57cWSs7c7etL5kTT3XeOjc3YjROUoDrlKoiTO0DDhZ
YF5I6Pw+uF2JeojRaupVuAxwdi2iwNh0E3LnTC9Za7nAtEwr6nfubV0WiB35yTwS3CAACJIhpqWB
qgnqbg6akdZAwO0v2bC5AILBk/HQs06Cc4UTbB9+DaeGdqUxVKtaV0fkInIzuiNjdorMHtkMcsAI
VCjKhWWQeqiK4EtNNDUwiA2rhpGvbHE+SgQfsDGZoRMWIu0qoTyHaGjPfi1caLSM61Zmi2E69LpT
7V2zZUhkdkgZcIKs/2K40TzoHKIG8Go60Smn0HzlYPJT7AU6wwY5bAzJStgaSGzp42t0vw+Du+4H
7lRn7JfKFY+6MIfV2IQP1pg/eLUEa6J2SY2HkkjKKfP3Zeseh96KEKtMRIPT/RcoIcLeO/uKOOzK
f53YMbdFeioDviHMZ6NLiXLJe2EiIMikACwVaMXByMljVF53MzYFK+GhRtjDFMj1vKV0Rfq46ahd
9dSyx3EyTac15HmwjmfaLrJksh0MRiMqLbR9W4VJpP8ctTT7zWkkprQANjUL6L2M6NJAuyeeOFuO
QzATMm409pgzF1U/qIaVdVPDHDMtLnZlsJ613wy2ZwtM6erYtgcHCPMii9RL5RqUHkus2agU6M4s
xOgWm1FghWfn4K+jjJHQD5N9qvwIymLzmjXNo53ac32vrzad6F68ogFUo5oFtpQJq59Hd+mtM1WL
MoyGmb0EBAqJYjQZwYnYWxTUJjckqiEIkZaz8QRaakhdCCe/mywcFnki0+M8Fh+HNGCJWdwH8+a8
wYhemv50A9Iygbmo7cyx1Y8tItb3h2IwjwiOkFWkpgkG9c2r8XayezxmqrcWsKu8dRdkzi6e1A1e
j88+2WrgmSDI94G1SPVEwRri8q+GbVdRtzOcO1dOJ8qtwR5wUgz5WOLQdcYYZlU6nljTrLNlFzBL
dl3srsaIRUyewT2zA2+Th2m60AIKjAmwqHVJnvG8/4PLV4MPzusvboxWoKS8t6jNbodu/0s3r6Ur
rXjx3EI7hnaOUdWluiRbUjCsrKFf468Il69W9DuXRl23lKdGb92YGgvAejp1Dq1cwa7Uyuun0Jt8
CIr30Shv6yh7tEGtLVJICaSAgQIdh8cuwvjZNfq4klZaA2OeYeaqxX0RfBMAmdaUxPpr1Aq3tKoS
qqkudVJbnGi8jBQCJg6RtQ819OPEz+pz5g6f4y6xt04OcCkvuy/0RQfHyTbAFPW1NCxqCEaOwidM
9z6OJeBJU7kPwq+GRlhWEOrbNM3ttcp2gKiydV6jqxFaHIMWXIUjpY3RTW7DDgGYLkuU7tVD3ZTO
2RUDsxA7Grfq1jg77wwa6IgKNikNXVg71Ai5zygJIBpvTDh5ns+1yV2B7T9EaRAieTQk++XiIR4q
+q2Javmo5DfXhgHjqcE/J6goWcJVmHDj5FtrTvU2j6Jp31ndRjXyyi3C+6oYwlVZGA9Bs8kaaKDR
Nc1yEElaeefGyWNU34D/S2+Kls+Uq2StGVn8YmmUlqTN6jrFieFCUwL0ViEKTCDyeIwtTN0G3fN8
WMixf9bGetpYacJngO2JDs+EUD0Ta/D+/iYY1XcruG/Ck66l3ySEKUSp5BYEjkVdr3qc/ESf71Km
4EglsFiLDavtZu/VzguWbGYUpKGwkTet0VeHSN82kVbjBDValEbZm5jIIzBGtz0VIOtqxD4L3waE
4U3tLfuUsASmXpf8msxg+edZ2fcpwcEdhc6V2eUvoC8QoPoaKkG+eaIY6rZy5zY5rrneN54KNq4b
b7RI8JH5vkq9Vw1U+jKJqV1m1M69+67PzEMvaH2LZWmN424IArVUJeOl2955njdtKyvL1kZUlhtm
BNxJ30K1nioDI7bG3wTUw1y3ErlXh9e+DwZQyvvkMBbqJiySJ1tY5Y440NekDaaFJvB7xn7Yru3W
Z8DqjnrL7oHy/OcwaHeo4UljnGi7erTixrTE6cp4t87jQCIZib9OFej1rMe5a7bcD3REqzt8oGCc
wmg3EYXwmOYD/jt9+A4WkJxvB4SPBj6ZNk1OkFHAFm6IegCEMUguqHVvA705liZUVHUvXkDewupr
Vvo5OXh5Z992A4iDBBVQ1FKBbIdvWmEcgh6Gna7V7cq3P4VD+6UWrzmt3y7sV0NKmZ9JdNsX7qfG
hYwbPPaGMx6GBt956p4HJsZFWEuEC0/RnF/RGLuB5pvB/GVP4/WUibcEikkzlWTD0+RyhNgCUsKW
N7g34GlOtEIXCslv68ZslSeqA2OKKhHiW0VBCDHk5yG7N2rTu0F7OBd8kXoUmViFoW4d5+40Tezg
XJjO0bPkd67H8iHIm2ZrCfZekZhOtFVzIEmBbb1VVvwEibnqp2EtMpHs+ihZJ/w1mBrabFf0jY1A
CKxSXVI71Cv2lJzaJzZvBlbralGW6IBljTAulqxd6C7fNCZeIVOIg8qyad8CfFYWdj+nANTQ8Yvs
bdnqD9OQ3DEGlzh1VLBxhQ8bvxu/DwhGTRu5AEA4PijG2mCiVtfXmlpHImT3PLOBJVrg1Jsn9IlM
AdT44PzWRpsX1NUbtHN+cJCddsXmd2sqc2Egs97lsIeXRej3K9eym20w8nZY1O4byRomcYGsQaWs
PdN+xAvgIaJcBR5O65YXPO7aWQx6beKe2/g3gea6e7NQYgPbMdqU1bSPhtrBx7Kg1PS5rtkFO/Sz
QOgDsytz5pbU5qLozE0psftV9aK1RmdZW1ghrKROdrofjTtbjTVgaxDlY87HqZWESVTulu2LRigK
ulbpklLga31OKylY6S6FQFc0W12jxqiNxW2YufCxWEu0yaMOetzopvsy6rZy2mjY6JYiHR7NESg4
hnSs/JN77gMqCp3iSkS8iyGnfUbFPyuXy9eQ1gfeT1vuLVXel9oDbIYXTXpPoCFwgsCPy/P4PilL
gyHVp2ZCXjed9xAewKSg3pa30tPeMqHVEGWca1OkBrIOaOlZGTdLnG2Y2UuHeb8U27oI3zrOlWbX
qKCTmyCDZVkG106TodD1pld7X/TOuUiqHrcUN7OT+xS1lNz2IqmXGhBAOIXZtmQhtbSb7q31YT9b
eT/DvPOcAI3g0Y/H1x6RMdcoX2nYitWa8735VqXs7QfhvtAH/YRLOhWs/bNJvaIRXjsuJQjCbL7u
svha8zkriPOgMJZflQv1xcqLB8y0T3SDKF1QsuWiJP7L67dePUr2bQ6fXIFc4mIPhfkNwtSV+4tj
lGlIoxrWDmB+I/upplRAGdCL4l3Qq4PR2PXRrwCFviOJNObgNA+gsuEWxpkx0oG7PFR0I1xsbTum
BHbn/aiOJejYJ8rnJ0b56BZZHDsDFONoSXTswiGC8ZmyIALXOoz4EDR2jfeWFTFdDPE1fDyLSaPX
153yBBca9dO8Z3nhBzLeN13pLCHVmo+Xp5KGEHWRWIOaay0AkmOZqLX0ZOT6cKxTGW9sy/QZs7mU
KvTeezqS3HqoylNRyNecTIZVaBrdiR6wvyXu5+hOZn03NYzlKisoITmeubJwhFN5sdFbejKam0yb
rGrH26EOPyOrC29aIo2WbpbaV4MHANVylhro/YMD0uH83jqWRXTtsYY6hoJpJZp6klLM5roW2SYm
y+kukLhN5nELRi3N6sbiiHERouWpRpyNc/vZD7snsEzIvKfgLAJsKoxHxZqxDB6MXy7CzNrU6PjK
pBtfc1nIlQiB8kJYBfkxpTwV8Xdqe+nDZW2aF7UJxCpw2EpY3U4fs2il0kkiCKRspNIvJnFfqe7T
5nOzU9k61n4+SVzd1f4CSApAyJL4Mc728swrV8x/uO3n/2n5dGUPNcXeNPyEY7U/0HJCMBxPZ8/x
xlcPgddK9d8tlVpX4IuzfdAO6b4cfPtk2xKnY02lyizRtE5OxJiUG3W7f4eusJ7VV0rQDDICNzyX
swGri9jZTpqX340dN0WFEO0t0VkPysgZbyb/0M2ddorlVhe1J8PR6PLNctPW4FK2C8Sv779bYzdJ
LfEqNMzXthvVjat36uAFjUFllzfwA/XtD7baf2RtepOHWVP/42/mz8mT7yQ1S1qWpSQhWraas/Z+
IKmVuYRBIdxvhisZIUd1yAODtm1mHftIqn03JZ8iYF1QIcVDhGRnbSGnAi7isyx5V91c1EYpXnis
h8NV5NA+s2sR7WF0B7fc6YsRUsrK8W7xO/RrR2Xwelsr3f/mjfwcFDe/EeWAJVWWayjddkDM/fRG
HNUxOecTWrlSASSo9K2ZlndBo60LkHVrSljlfpbr67n/4JStP2PAvgO/DTHOAH1hQcgmE8FDZrE8
9joW+RAKmNaUedZC7TgE/u/Swu05LO8nip2ypbB0Z06wtmHmfaDYIS1moVdCF7WSWXorU5lu4zLN
tnVCPT/GAvSpasy9M2oCR3ns77PJiE95T9YPfUsTjy3lmm2uigHJZOIdfJt6R2YZ97UdHdJZEoPk
DzWkYx7dWX19eSiKYKU8oP+p43kHpr7uGtcAVVEDfnpsUxOALVERCDOplWPH94EOZNSVCkLlrESR
Eb0X3QU11Ej9qp4fLv9TjXgVQC5g70iKTqDDTpSi2yXs9mE7esCtMhbOE/XpGzqquCIcm8xIa0K/
IG3nJWt7/qcF59LWqud5DArqIr9vau3oJSF6TRVhKtKJG5swgl/HQT/shoG1bFGgB0Njy51oPlHV
1o4IdqK7TpnNTc4yKBai+s094/7pnnFsR3CxScLvkBLKD/cMK8aAqpcGU4QpPszLPaEH/v3YqOoU
FuMZo8XCDDSVbk2tCJeiYotT6DTZLgA5MBHWve941LMlEN5wKrb9TG1qrAwtEC3B/eVpq+BsDsUM
c9Cbu7JN4r0WaBhjqIfelSEg/cg2na10KqYGafTrzqXuW9bY68ohuK+r6V6NdnyqQgtl68T+dZZo
pgNmZeHSxAvdzLpSKqN5hzjoMlyP9tCt1GQkRwkCZ0GnMjxaUvprYjeo+Dp1ekSUsYsT3X5yIOft
Kifhsk07fEFBolHVTWAgwTjpgvfnVimuorKlI4Dt7b5SYbmbOud5SN3biw718oC8+Bb8Gqod6ZFO
krLU9MagfQQ0j2lQ6cNjUxk3XgljVw0pqg1pUpMhmAqDdEazI8ZNceVHxGcFmVW80s1ZFZlrfXFm
lV5HKMNSddjQOqUxJeBMxzSRuKcpzD6zpI53f3wt99Xp1wOS+tOA5M4kTMslboOuN9yKnwckLVBs
iEhhQfhnu5sajTVERlVvNIsqbycDfddMiHZ8W6fM0NfuyRVxey9GBqORKwzUquGAaOwK3LcOgj87
NFaGJh67NmxuW20MzpP1YiurvisjinK+F7L6qtj2RMatXhMTH0ot+V70yXe3mE4oM7Wj1bKVHSo6
IsXUa/siEvW6CNBYX2AsU42SszfENgq7ZN37yXh2sBKFlUMoyPyQty3IENRPD2bBmmUcBgcVKck6
QOJRcM5jwSAqdFNTlO57y/gWJmH9ScsDFNp58+wD+IPBkJKFFenJE3LccQnJU25/feLlnN7707BK
CKTh6pZwXaY0zv3PJ16IsbVwVhFF4Li4TVRREA2Q5ukOmr+e9q+RHk+w9OB9R1murrzCA6GR1W+V
jKvrSkfRFSGwQ8CV07ZBa0GN0/ZPtWXf+HE03EUR6XEyZV8rK8yeMzWQwdU+2N7w6SK+vjxA+KeM
YPifndHENaQ613yEBLShAa8v9bodlh50SAoZaYUaCbFZL/vpikQ2RFc29Zggv/YFMUm/PjeG/vHk
gCm16C84FqojqVznQ4BrDZmu8MoYRoYdBFtt9PUdIBqW20GxuxCnHPyCii03pT57aWW6eOSzrWPm
nPf1SWEQV0Ht/T4VYY9EwaqOUzt4V8Luny3l01wBAWUcL4TAtlHf2EAZUEvrg5ka9aOW6c1hwKQE
6czfR7U3ro04F8AkepJCkDJSPQ5fcD4FkJ4IfKLEmJ7M3qF+LvP0FLYedc6Jerg7usG+DjKfIriT
rjXWJ0/sO9wVxKHVoMf9qUtEw57YVbf0HVHTcEYZRc0rpyS0Ef0/67rOm1YW+tHVhVCWWNApsQog
287AEsWFQeWzM/TlvEgQ4LvO4YSxm8SlfmPMTy9fc+j77DTi7+zZduGXESxYS4FhbtwFUlj5Gb7u
mt1q7i8Gw1rTefJRLAzGeCwVAQOZE/SHMWJbaDVKPlSiug6LGopma7+iRfmeeVFxq2vsavIYKfAF
UqphgKebTRlcTTc4KeO7YvZBoX38CpwxPF6e+QU5Bb+5esQ8s/14a3HRMJBZLLNMS5em/iEtHBbo
lLhBGS9wMMrtBW9azo4wNJukHBS1Q0fJ7o8EJNLWkDmZonEnv/h58NpZVnVLu8eDxNBAOEsndyUa
tJJMHMO2qvT2ODSdfZiAb5L8huHAaORtryBj51XpX5EYk9KBmdXUrZPTVft0+YrNKH+0UmhUl6dj
GFVnLff0z27crvo4Kja1LPqrcDCMg8OVuBWjVc9rF/owBqZqRykXREOzb4Mg+1L36k4W9jUz9nS8
kIQ63WZei1wojGVPuLLXge7VIDGSfIBWoj3QhCo+h5JCV0AV7QkndL4I9emMz8K7kqTovftgNDSL
7xddbyChc4ESAOHLYnKhKXEf9KzM7nVlfA5aO/g8Qe0Jx2FLw3B8oVVDbkVtqB09PsIIbDqvgd6b
64QXlkHbQEXXRwCLQx2BdykxrCZQzWgLas71+wwd5qg5S9sozy5K0dmW16MIW44luJXLlX8Z/vu6
rY9smGZsy3BDn6IGF9/KzeVpN2OHEWrcCie9uih9xSz31Vc5jMCTyAqXMyixqYVucwbNOq6wtOZP
rmXQyRuHG5zE7OtVra0v2866VMsx0UawV8mqiwbOqKmhO2Caf44oaq/QJXpbaJkMnW2k11v6b9Oc
azZ9ShKCbkUvv8PcWhrMce/A8HcO9l/siAw5X8Q/X+TSZm6WJB2zVlXWh+Xd5A9GapcGu4AojmEN
lskq4pZ6GgB5QvYf/a9AazA4t4DjbVCR9NJrvNpmeWsq4zyYRvTYjucGiN+50KNdNgVASGjSUnr2
ldjGOTqNBvYCMGggJDR0EUda0FnpWEzB2k5089hE0bKcdOyBtt1BkQlDVpo0KyKztm46y24fCxKn
6pnIlxiudSIhGykf6qAoeyhozd7Zg/F+RzSkrN687xYqV1v6YY9jWhfy0JYiuFcG0s8hqw5G33TN
QoVRepV9spsgOF0eLhxOq2GVxC2lUzXDy6C7iyBri+eRmvomtbmGpO0Xz3GjHpSLHSyQenDfIcxY
aCFxPV1Pw/liEuLvKlYkV2A/mZXyl4fet0C/27F4/5pvDDFSeaR3Fvy6A12bZKWXwj3VSFZR6ZCd
QRWCcL3ZTOAmNcqqqoPDY9FznTHAdoPPfMw6+1oLR/pF4MPox96+lyeIrzil2tsgrXFn6bGDot/0
zlWq7GXilAEEDPQQuWEkWwdEJZyDaAaeIjq1s/uw7XXwSyLf9qy2WcvS0KjnljcDcnVgsS7vgJQQ
/tGYj6aw/euKRAE3rt6dn0jnXpxhSI6eBxtNH/VPISi5627We4ajAfU0691256QxezPFjIWemt6e
VZKJak7G1qR436FwR2N3jSBcew8+/z8veRMy+w9XvG3qyqQnqeQ8tOsSYA2v/1AECHpjHGXsoSzC
AZKY1o4Ippsun+4C5pwCVOuuoDZMdROL7ODsDZlHu8a/EYLupxc8BSinI3hqo5Ed7b4VD16SXbu+
s36fKg30VkYNnWHAYgqmADxewZqzpYa7V022+fUkdYn7/tfty5vhrlUW85NwlcXJmt/sD29moqtK
GamOFm6oIRlFe/IsCxpjFxuIWTBc+jMMLBTlBKmi3cq+xNAyb5r0okTUWPcHg5YvDgN22D55RKvm
AjXEpxvuJ+C2SAzH586GnZCQiZgL9RW3At3nqHx9/07VNRoNPq0ApNhuEsOrIJCUJmTDblpf3Abj
wJ3TMpVckgLD0LgSZYIk7GJrJPG5PlaWsbV0N7qqQwi8hYeKywxhSPp0Ox+oqNjrZojllTPcJ2SB
aVHGlaM11j12lv5kXKDaZfId1yZ+rj4ldm4ocWBwq7N0GKcDKpr8Wuu3XUDKTZ/DrjD8VW268Wms
0Qaw3yQGpbfMdSApizfe1yD2aAwXfbfTXGs/gf5eDlEhnl1QdEvU3NmhT7PlZX0SPfqW1+8Gh87q
BZJeJvoXsGvuEfNQCOU0vrkY5SqTinlU+dbu8rSAn/abC9v5eadu45ESwnAcgwaxQAcl5tXwD9eC
FSjY+Kr5ms9szHGaHfDm5dwUYiZNM7wsCt3XbqKZDuU55snGZn0nkRkvo46s+AtFWxup4s7Utcwe
kIETNooxVPOWuD7jEwly9rJvm21JPXATZSwlMCl4yySqOjTxciTgsO5uxnYWqdKVMlhc7Vnugdfx
WnHIYzSFl0sC8di/bHhVRt5yN+JbMB1ZfJqFekQtL8xe79fcYNPBdIkvBOmJasYG6KrbCqEEsc+z
CekKMXXGVp9AwWKot8mQ1rfRBEw5nko4xxfDtCrOitYy/NISKHRI7ikrlJoUgVuCBpe5J/TFpVaD
Vn+8Cs30ocf9ctC6nJ7n/D+/V3Kl2ja/mxymnOzKVLUD3smH/OJPx8ablk4I6yMxvgckYbOsiyjG
o/JyvbcwqR5+fc8LAil+GsD4nB2dRakNWNmwHOfDuhTUmp0Q8/x1MJ96YXfvOxk238WKObXbhUlQ
ndOJjUUbB0+2GexAPo6vRgdXoYlu3i+JPsRbEjUda8eRspQkvynvRPmp9CgTpEmFR2a0i09II29c
+7ZK7eQN/c2XSTnxvZZ08aEYLLGGkUG2sql/9n2yvWPBzoidHRlj2UqbhH+6PDjzBAt0/NdngQ3Y
n06DAxrfEAiLDZh59ocaKCW/kK0x9cu+SlHNGawco86c3qwEGrvnv2aZPm3SKHkmX7y8wgwmSRnH
AQsnutihlsxhF7B00QWqsJBe+FuZbUHxnYRTV5+sgNkpSSRQ0qB4KQIm5DENx5vLg4MS9CCDCTCX
92KkOaZA/qPXrL8b5b/MT6Z/fpXVXo1l+rnPKiLcAzBXuCfL5WVBEs7rEyW1B5pz+TWokpQO3YRo
i3ohyXj+ljvKoYUHBzlDTonaB5hWELUoFqEK529jisAED2R1IuFsIec2TtOFL+1gxRg/ii99mbVn
W2h3NOvjq2zwXrqJWJCEz/ckQ63dJg0zO6bRenGpToWpmx/rWHwVRO7i0sa4jZqSWnyU77DfyufS
E5DyFI6lqqqg3Hut9dgFEvBfBBUdh+nOVM8UHL5Wsw2uEE3BHJLhrA4rmEqoCw+dwBzCTe4S+z7X
ybpGyO3ltpdjY+6SuWRH4//9myz84Ae/nU1hUXbTjH/gkYmXQLgEt3NnDIhHht77NjTprk5wpFYV
uA1c0fVRzA/szusjDhyrJ4mZ0qu5e9+hmF5ub9NMjY+hSlde1G3e/bZ+Ffd3F0/nNFhndxDXXhhn
p67yvRMpItQhE5rU778jHuyznkYVTPznAq37M3qZE3JBbYPAtFhD0Qg+Q7wo3Joi81iiiPIzFmDt
g0m99jENAqz1rbMrJF5lQrW6myJXIxC3RB4Kpdq9KXv6LOxfcn1KtlkbEN1Y2Q9ZPua3QiRzLCuK
kzQ379Mx126txkZsVDanuUcF/Td2D5rQ6dwMornObSSJEzHSa1CkcmWN8Fmh/CSrpmpttN9hfiBY
hgWhsn0Ymxh4NUvTT0VW6k/gKfqd1dnJF5UhIb90xjzSH4FrwkiMm11aTjtTWOPJm0bv2u/hf0rL
F9usltNB6tpi8rv8S8OwhTFhfJKsj69r2GY75C7bzB8xH5WueE5gma/LuqSvqSBmjOwqiNIbR6+C
sMj6Q3RaBJKQClQpqu+ZyenQMuAgvpDwHPMN+tLP/hRdg8FtrmpLb7Yxnt2N1/r9rraiZteNOrqf
st77Kh5OfQibpjGSOwHhDzyXfVdJu19dgK2RlY6Hd9qxdHQGBqc/ZZ5OyG3o/kE7Ngk2w06aP+Qe
vMm4T9Z+705PNZV9ytFwDQ02TDhavGSAGQaA8F7vZHN7GQT/86fF7Hta0Je8GKsQ0+aHp//9kKf8
+6/5Z/73ey55Q/96dgq/VMTNf28+ftdPP8Qv/uPAq7fm7acn62zOq75tv1XjHdbDpPlnoNH8nf/f
F//j2+W3PIzFt3/87UveZjRk776ho82IYrq8NMcdmYL1+P8d5fTQZmEdvv3pJ96znAzj75brEtlk
0ffQhWlShu6/1c0//mb/3TINtrgO20jdFjYvZHnVBP/4m+Cl+YccSX1Xt7Ee/m+Sk9D/bprUVgnk
dim+s1/4d5Kc5krsD0t1/hpoRCbHkS7TpnLmEvoPyzMI136gALYgpSXmm+rdS6D7N6lE1PzDGbl5
/5U/tjmNeQfzqyN9WAh6LtU83yziRX/QzuUdetqlttTPQNjXxjrd9MfgN7Wyv3xrliUEb8911KXv
+sNb6yyopHNpDhXKPgTOhO566ZNP9Ov39WF9O59AqUuAXg4FC2HMQV0/nsA6ICAv9YlFpFu8IrmG
GL1FYz1PzZdfH2f+xD+ePykMSurzzooyxocFVmDbvWUHvB1C7h70a5Ws6COtok2zC54hhHn38TrY
GNckd141W2ikKx2J8m9O6YfVzeXNChY9upRS2bbxoaHiois3G0UNJqM01Y6nLn9ms0d+N8TD310w
f3Vi+ezoDAuXw1kfjoXxUboBEe6o+omyy1487STEC5Ty5a9P7F9cl/LH48yv/3CZtHXVa10197KQ
lMT4A03cXr8+hPGXn90P7+VDP0QD8UtAIsfAL3o9rvttsmIgFlv3MN6Hm+g378j8ue9lv39MPxzu
wyKUKZXMn7lUNidU3hI9vi4QmS3NJbuQlf84nu2t9RThPgLetNa2ybph2fmbjZ/xYUPwpz9ivpZ+
OK9aQsQF/lqK0FtM2LfjGkfYGW3J3l4Pu+JItvKTeIOeAhB2a69+fcJ/d+wPBYge9VwDNi/GpUCa
L8HbkbUa4nsWw4tCew0KGPbD518f8i9Gm58uow/jgBWkfuCVBn6iICSFDMe/mdHGaX53Wn/z2aoP
wwDurCKt23F2NujFbd8IirQGUFgfE8i+xDk2aOEn2yCRwkJJMQUvem6+/JtvlX6qROShU5pnn/Nx
yGN4UiFS7XSm1CBwPzQYrtv44dcH+fM98/NR7A9v1NMSvaeNlS5wcK3NtbHLnoOndkXxbgcc/vo3
R5tHk59mp/loKFccSvy6YekfbpmxTcijjjmauTVe5qOF2+kaPvrKX0br8Pxvz00fDvfh5kgz2huy
5XBySBeVhrWubVDV5r8ZCeSfBrcPx/lwI+QIMcbKgHJhKEVKknFvGXaDDtVcNYDESHjZUQEi+ia9
gxJ8+B/SzqtHbmSJ0r+IAL15LbJse7WklvRCaKQRvff89ftlzy5uNau2eM3DDAbQQFGZjIyMjDhx
jglEzFDVu84Be2/XJwMwzujQpAUsF2hHE3JM3UYXz/xbsr6iOLKB6eYlhICha2AmAgrq+4GXkfIH
sFeXeu82dss0Dp+vBcky7+VshmmJCW1IslrlFWwxXOswarW+R0kLONO8EngvL03Wb+hkN5qQ0tS0
xfrhiXf42gSh/L79DGF7cIC64RFxkfEueqnv2i2wqF3I1PRxuA/cet+8xS/N3YpvXRzZxY9YhIbK
N6ZZDNKi2QgkSgzPMSbghU7/EwxHxI5EW7VB4KBVGcJkpieX8+F4+zdcRKePP+G94XIWjOXYaOCk
JSAmpuw6BrrQvBFgEbptRWSyF6fIMGzLoPmvWbq+yCZ7PHpuNFZqdZvoMXucUXg8zV62LR6cbbdT
3OFonbJ7AF+7eqM88I52k93azXPN589/hLiMz9aam7JqZvAeo68AVH4oPepLt9epXN3Os3WKfTgz
YUYmcL6ZddaefuqP/p6HvgtrwffRnV3rK3y5krd2q18m0OIbnhkV6z4zCguE3PsjRucnfT96ugsK
gOnMXXFEesRTN9Fu7RpdW6b48zOLNN1zwzS5a0q0o3V0aqrupUjVlSvtItGzOYM6w3OMjJmy/I6X
OLMiW7XkmEDtNmUmw38NXQPgNFV5VnzJu/3dLtICYYnWmmEAvDC5wz6uZ+gLULUWSkahlsPMIEqM
FBxNttSuDYbisrvJkR4itMZWQsByIzXgnYou2pnksxTDF2GoyZlo9WMV1h/VBPkA8bXSbbTgdHt5
7+n3+SWm6TxCgInKCq8EU3vHDpztpAXf1oAgDGjGDYMrbujSgfTU52mnbNOXYbPqkcvjvrS3WNYU
hlqaiJM2Qmywz8jrZMRuGEwwdyXI8810WLs3xd94a4WLUMooc9XCQk9iJ8MtoUHQPgY0iEdobqF2
zXQIn8EU397Wy49HnvPe0aKsy/t9EdSg4C8gt2TSVc/Qtxuze9qfzwiC3bZycbzFZp6bWYStqKG7
3BmYKf78c7gL1zyCvXbRcNtWr4HXrUTrq+5CqDahzrRVU9YXm+lI+txEKex85sO880+NCypiG37t
t5qb7QLP3t5e4bV9tAxDNgiONDqFOvZ5NJFseNsD+MCgElJfh3F4nmLAd00zvdy28/4XLZ3k3NDC
LYOxyh30BsQr9XujR3dqWO9VbdgVQXCAifE+LH9TqNtDyXCPgMmOotmmKnuYLUABaiG9uOlVmeS1
VOyK557/qMVmx1ZhlZLFjzIg8Dftu5zBp9vrXtlfdZEwF35E0wQu2Y3tPJvKoaZLUK7EsWWoFj56
tojlUbC7jBG/eCZ9Gl5BhwyaA0X5sbC/317JmpnFUdCLvAm1WHiKORWblhFiGtewAaAE+TfjQCv7
dvXkna9qcZvTkY2bZMScvmfkp94We9Q+LDd6Zh6KN/KG8ab41K2cd/2qPyDxrhqaTIVKfM2zWK00
tlWrobjtkvpHLVkA9NT97W28fsBNAz4r3bIcao0fbUyyAhkVhHHcB8NW2uResEVW1NU34s2PqsmK
d1w82d7d48ze4rv5iNqFmijxMee+b58qtz/Mj1Db7Ov98Jdzf3t17/58ccwtxg4YjuDtpi52cAg6
zRnliNETlxfHgfbilma2h1bQNwbVnIdx+/NUuunf9G3QbVnLda+etjPriwdjYY6QgioaGp3934P8
dxbvjKZZiRnXN9RWgXhr9BO1d4DzmZNozTwpiEVQN3ov36Aux4We38k7bSsd1+7W9/mMiw09s7b4
fLGvto4vrDXb7HE4WdJu+FMfs0Pq+ewqgwjVsf6UntbydUW44S27i/NX5EUTZeJSj4/RIX9qD3D6
7+jfbQOvWDl11+8GAb5VVRO4jblwGp8+qm2mHDvzB7OlxR/ZRT37S/FgPodPkYvoCGO/86bdS8e1
bOmqw5xZXjhMLI2JDZE4lhPB7nnHHO6d1YwrLrNmZXHJjjUKzYwgU/Qekq3iwOTDXKwhHW+fvTUr
ixt2Vs3BnjXWosT2pm8+2wyN9eZaTWbNyuLKBBaYWzXC5Rv7R/UzuUt3uRfuIFE5BUfx5oEnQPLW
njxify588V9faVl10jq1TlVm+zddkB50IVvo2BujgzobepQ6W3HHNWuLAN3apk9JX6yQMXRjALdc
0rhEMkku9hP8Bf/TV7MW53sYq7ZEp4TzXTovAcxgcLP+DKpkxQWv3mxnW7g4zrMCzVMnMh2ngZAg
2FnIsNxeyDULNqm4LtMG498LxwCSAI28KO+aZfOsOkdo99Z8T+zF0g/OTCy7LX3ZmwnXWbKR3x9S
ZrIPd6YnAq+R0F3xV1Z09aq2VaAzILotnsPiLJxF+iyIonGGuH9T7+RTdECCaB/sQSi5iOttJU9Z
OcDXMqxzc4tgZA1yVTk2t1f0p2a2LHZt416BRun2d1pd1SIaKS0c1rqko1mxh7efLO612Ecui3LL
AGqLTb63/9eNXIQmSZOmmBlyeBZ2AUUZ5Y3iZ+WB3fVAr37xH63P/+MaF84IAk9hdtpA6/ybvbd2
wQk6NA9pDy8+iJrM2gKv+D4wOlFMUMDVOe9bfuYozPknc6gz466q2XiKrVg7Nmplr6RyFy0kUjky
Rl1VqMyIAupiVVOJfEJrMAluPEHt9Ja+tn/p3yWF8X6v8jqPSfJt+YWatYma0YuoyGu/qd6sbO2V
Q3j+I4zFi0ayIW7Udaq1xpM5bUAfHZjPO3U8Go/FLt+b29v2hGsszrzlUP6H6MKi07pMyVMZPCfM
p+mmaD6Ns711co3pBCQAnUMI6dbQmmvOemWBNvZsXgC6DQx+sctNnqWaUYqXzQODhNRPHJLz4Jl6
tCc6uLeXd+00nltbxjRzHisVAHi+CY+idRycHLd3Ow8JYjfy0DBdWd0VTwX2iYcyCUzTeumpk1ox
K6silQVPBPydXtl1ayu6kjnaKqVD+rcq47vL/DipC7NBTDwnc+yPyQuqQxvYLd34IB+MlYh5dffO
bYlveXbwnGiM0TTG1nDKj4SWPV9rq/6Gw3aX7fIHNVjxfvHtF95oUzYEMmuKkom1iJ2tajgN+jA5
N9B8j/TZIbvXd+ohXhmSfP/qH+04IEAoaym68w7e/LiuyRwkRmFKoISqDd8eDcwYUpPhuw4Az2hl
d453NfJtOdJd/7E/frS82FG1TwG/5VCb6S/KDi6g4SjSO3HHQqga/QpPay+c5a2nowuriq4l0dMk
ri2O22zNiWFAJLGJjd+j9adsvkLmUdk/bq9rmbYurCw7tFI+OhJSB8h2o1v8NSXp54KFttbJoaa/
bWoZsd5NATHWYNokerwD8c98UtP7tCoh4oEVuHqylehQ+hS1SfLexkZ+tYba3CiFtuIxy3ONUdJR
BwgKewk8Y5G0Nn2TOX4MwVHtIPsM67SRrD2uLx6+SxsL10BmJmPCCuZR8fCtPmmHZG9ujD2VBBfl
2ZUs/IpbfFiQ9vEEgJRvykqll8LAaO8WEALCsZXfjUb3Y+qhb7v9za64h83TUwEWjyYDZ+6jNV1j
gNIeQFzBidR35b6JtUM/rrUCrn0kOh2awtViAExYWCltA1rxkeCL8MXg2idw/g3lmAmBEJdj7sLj
nOzWKryXRsGlCSQUvRUHqP/CMwwHaSYGSDOYRv8gullGK1nJ5daJv1/Uy6CZ0CGb+Lh1tRHHk1Ii
Kp3YMfRoUD7Od5Rg/mN3+GDFWWQdUFiW4YzMxkZneH/0lWeT1gKEYl8hWV0xddFI5NDyhBHoQINL
TBcIwPNLBU6UmLYvzwx133v+H0jZd+MBaSNX+6ruQMagTrBW9r9I7YRN3A+GScLrZRfM8uG8CQ0L
jpntsNXdZOsf87v2LXmxj/NLh9blAZlSkS4zs/0KsiRStsXb7TNwUfIRv8HCOqNSAOjMZeLjdDBi
9ON7qsWYKlP8cKyNjQoegDoYA76Do/N2VAyYCyPJDBgY0jv9y9wxzAjH8FyvHJcrjmtxRhxGPyxS
v6Xjwjmr6iHqYJsiGGGV+d0lP1cWLALW+S3Lgj9YWAQ0X4ELv0dcmYCm1xsBMIG5Zu8/wTG7XUeA
XSQrTJBxz5EVUTnUCDeLk9K1szFDH5DToFZ26B1vMzf/C3IcFzGYvfGsHW8v76IW+48906SLxHeV
lwObxdxCaGRwZiAa8hSPiqHztX2D+aEPyMgGT/WgMPpsZwxPbZwjzKLpFyVeuQwvL433Rf/rR4jb
8uw2tGonDtJ/Fg2ZMD/CAZvPaxNe5/30F0zGtxd9US8Vi3Y02rk8FXhML98L5NMB8+Goa4pLKjoE
n+Rts5f4tLanTeIMu81ruIWO9bZdEbo/uNLC7OLtLmfmUNkWe+2kMcX82dqlrfwzdqLTJBuHVGu+
3LZ3cTiEPcGeQeuc4fNlkpHZsDEzrENjkgZ2pwWbedrftnDVXUXHmgEiHUYIdeGuU2g1iChArSnc
FS7tbWzseZwADK73JAEGY5Er3YOLRcng1xA04h/ufnuJVKHwFkCHSpHKSuStgp6tX65W79dsLM68
3sNjPJrYsB+G7ezF3SY5xDvJhVn9iResRvljrQVz4Rssy+C4E8hg3yC7+HgEYGDtHTNnI5Pmkxz/
ruX+aMJuZKqoWCBsd/uzXVvfmbHl85zZW9+JNIy1UKxIDWSOa1FTXLUfXF3moleoAVgGwI2L6zHL
ZzWP1SHfpLy46icI0UQSeKof1oDNV5bywZD487PQ0cizUhayQLRpxvww1D5z/cOsrUQosfu3liPy
mzMrcq/CB6iwHH0P3cHePiZH5uD21ko0Fn/NwgwvAuBuAqyAJyzSsMwezHqcmPa3tW/hsC9LDUao
tRv8yoX2wcjCuQM0XQqUawuQdWLw/b2a0Hjmt3+v6nV1STZQe1MhZ7gIEKM+DDM0egnfR3Ytvd1q
g3bUp9fbDn15gxDotH+Z0RapH8W1FoZm5t9aD0REusl32R7FnZ30Rz/85wUScoIP1hbfqUvy2TZa
6DUsmCZiTT9oc7Lyxr66bw4vDR5UHFVtkV9mRs2SekxAc2f3L5XzV1KteMKaicXRKZmibowJE0n1
t6BG6P8y/ZW8/8rpZAFk/KI4ztSLiHpn54Y8PIYXj76yPsj9E3MQzVE1pmwlCbyohIjvoWtQwTGS
A0prOQuTllVfwB//T7c1OiB/d7T2InNZe3Be9TMQMIDBxHKcZeag90VYtw3SguGRea8tM5h3+Ru8
VPtsJ32vVnbvMk8R67IZGOLN56gXeG2YAOceMRrKHvdINfh7xcteolN/lzKJSDdt8IpdXW0gP1hJ
VC6vdQxDakj7WpVZpxiiOv9ukxEzVirU3xHfer/WJUGPunWAf+o7GeL1h7Wa47UH1QeTwlvPXMVu
yjJmAi+mIjhs5S3P3fJke/pm3Baog5GHxtv8IVvZ4Wv+aQqIMZcUBZHlkx59yEgZW2RhNCYCbQQL
k++3A9MVA1QAOcGgp3D/ZQoWQ7ORlQmjjbLNk1BG/HcN0nrlavpgYfGpkrFp7VbUC9JjfRTllmHH
ITus3bPXfPGDncX3katSVu2elQwnFAa95NBDVLoxdgJwL/0IPhsQJjMQsmb38oEiU4I+28FF0jzr
aaNOYge7egdFw7HcxR6NGtj8rE3xq95yLjbqRjQykDk55H+vFt9FMF9cyh9+wCKGaUE6x2XOD3Be
/4H3hZ72SSAzs6e1xa59y8U7SCU9VNMSU0HxNRgtmCq/Zv2bPb3OTN5KtJel3vduO+jqdxW/6ezc
IbyWlpLwH/EWgrqwiFzpl76dD78+dR78bVQiAxiM92slJ7Fti23lwQ4RliXgk8qySq4xNJugpCc0
3h6tNPzTpRYDXI+S/TWEm3FlkRcby2iICpCXURH4Z9VltUbWGScgqDH0sg8O6T1SvSh7HHjxvdle
DVvtsf+ZefkemiYv2A0vK9YvkmGs60RyHRwQrHHy4uggtSPNEzrUm/ReeFB0Ch5E/rheD70MomIE
RlDTibaKRgr+8WOijqCYUdBRPfgGl3queuKKyva9G5roy226b5PXuvAkrTnRtRWe210EoSG2Bygn
sSuf6s/aoT1ER303PkSrranLC3ixwsVeorZoFFWCpX6Hipnw08RFEfWZUoEb7Va7+xfJ8sLcIvrE
dtipkxRVmFN2OnOac7fraRGrXniCuUr7vOIqa/YWwQZsml1KPs+Z9v09Xbkjm5mDqxIdJHiOV8wJ
f/hwCBfLWwScpPAZ/w9kWmPc8zViOw89vbFhZ+6Kp2D4NwYTVr/fItwkTHBZ8Ej83++neRXlgvEE
5eURtn5v9fsJd1gskGlrB+A+s20Qzi4ydQ3WZbjKOXr2Q/FV22VbqH5gb3seXXUH7/1ddxft/uOG
I+WlD0aXL6xghn3SAWwbH9ujbT5WexNcwbhNDxHsZehZ79f6Y+J8LZfJCDMvLM3ksbAcuZX8wXHi
DIAQFCPx4zB0wckukAFe85drdohfsLPSCBGD7B/ji4YMjl7ZcJXr+2mLYhuM8i7cZ/C07ERkkRUk
9Vz9020vvRK81XOji+2kVTYrcUTzTwTv/5fhyOsZzjVfObezCJ6pnzp2LBYn0IzGW/GQuUJTbGNu
ZIZ0oLNLXXP7Xy1OMx1Z1g1FYdDt444GkdJqE2rh74US5e6fw8c420q/4sqHg28AiAR6Pxb8y4u4
osVyUUNFTBKTDx6U2Z4Excrtz3RxoVOWY76c+xUsBuyxi8hcO23gaKAYNzl0SXqg3iXNsyTBU8EZ
6Hr3trFr67EUSgrMHulk7gtjnZwmTa9Cpmka2Ek9BZGy2xaueAOdln9ZWER+xco5xo5WwuXkuwmE
pFn5zcpWXPtaOMQKVBH0c1TBu/bx8zuOAW24TryPYTN+RDNzJ0plaMiN3Gf/RZ9PfCNiE3c1FX+O
8EdzwzTaWauxbVV6VAgXRayseMHVbSPUCpwTX2YJh0uqqBmh0883VfAyp9/8+mjSSfgvPs2ZjcWn
MSetraIUcBost9rjVJv1X70jyW9KLCW726au+tmZqcW56QK5QtGY5aDXYtRISH++/fdfcwDKYgzX
UPETcPFFRPUNCE38EgBf7Y2etAnd+S7ZQ79M+SJZHV6+ak1V4PsnE6b1Yaofv79uV1o6ZShv/9P4
YF1iTik7qh6YvmD1+hUfYnEtcSdRvQB+g8bAUiChd8IU7aAQ1swIFoH0zpoDSNLf2vbp9i5e+Uom
5Bqk1izMvqiT1CVDOt3kJBsqqAjafO+G/8LlBLJMJNb0US7e8aoyp0o4cXAi6MKVvvWM8GSuNlcv
Dw83gMr5tETpnCj68fM4Vlrruo9Ez7gr8q21i07RQ7Mz9sXR3OXb0tW24Xbtzfle7P/4kZhRYG08
xQSjzdIDMxNK2qlOGNfvdSU7OvXUSxuzIXfPkSdEiYMuE+4JnOtP6VjhvYHUJEyAJRpryTTrbjDA
fSapUu7aiY2UcBPGr9NYa/soU52dVNs/0i6H3ijpTOMAR5o/bBKp+SNb02PbIMgHB3ow+YYXNZoK
l2SMwFpQot8XTGSGPQqrUdVTy5shZEv6qEAAVxWMoLbzW5/MVog/AqSUFWYenN4Bj+3Xn1Ul1BHh
RowS1Y9ulzhNeIw1pb+X217yoONTgTikysode1k1A/3LnCrfTTxp6d9+/HwqQjRtFtEbb+jPh263
D7Y2fcx6Wx37fXe31jK6zIt0pm4hGuISBG62/HCWFTIIPtFlE02J5NQeinvRdlutQoqgsHCQD3YW
QcOfrby3W3w/vjdPUAbs/eOvdFP/FGQ1qwn7ZRYhKmUQkWr085lHX+zhOOq5NSkotDVbGLH/Kbig
7LENthYN4eYzDP+BK/NUWENXXHk78/SwoGwiCNN6X3beGcEb5KygtKvvnW9W4zHhAcmvB0fxDnY5
yOFcK/o3ruTLMy/MokcADaNFCrC4YVpFR+sopnadR/fwCQTqax+t1cevbeo7yhJIogJh7eLaD2o9
MLuqFvNBwxY1W3pLIXJ+FED0DVVdSh+oyf8uT8UT0i1rAebKpcMKwa/CzinunWUN1GicomkVGk4z
fCACf4nu5tZ6EQCK9WH7y0Px0Zi4Ks7KWVxChpHTPAGYWx+bfXsnuHrq1bLkJQ5GPFSByMJJIMrW
y4S6LRI/S4Sf1uAmZi90g1PKeJfqrY9OX9/AM1uLVzrKEVGeWAA906OeJV50qAArDAhSorPmZt6/
8Wy+PPJidba4jMCFXHSfUIDIktlizkrf50exuthzIFVBJPKx3q8NVF7ZS46cyICBNxnaRQ40p0WD
EGsiHl6MphJelP1wr4Kh+jcm3y/946OtRTBTraBV+5L6A3rECMHof0y32osSS/61OmbfI+lh+hYe
UMDU3Npd39nL0/7R/CK8FQ3lCDCYqKAWj35yZ5if9fm/gLdgBISETCHQtC9y8BDlXV/TMVJte8/p
mOCAfX9r7LPP8WP+ydrDl+Kuo9TfH/+Le+KD2UVabiW1VlgaZgWUSNsgo/Zce+GzsyuYiBEcZ4mb
3Nc/syO6uht0I1bQrRe8VTpvDv5RmGCCbU1eBvA8HkdtFFAA68lqmHfYVY8NjguFrVtuUWz/bKOh
BLZ3i8qdF3mrTTORqi/Xr0OgC5SK4Xx7WWTO1aQLFOhP35NrWKkF9PVJ3yWEhNWYKvzklq1FmAsL
BGrjnpqIYAAQoLR+w5QbzRDIl4mqa2szLjNsHnO8UuCO0ykjLKv1TdogTTQz5aRmMyJx09x230x/
jr/ZSl9+qYOh+V2WnYp8WT4hgDvr2veiIzpS5e83tPylvT/CONrz+HyemsaHgBmZ+JcW4plhM+vI
zxYa4mih871IUGc1quEprm1mR3qrLceHFDLawJ1LOQLlmEv+qa7MGm45BF3dyUjGxxBZvI1fAtXz
6lp50uwojN26ySNPKjv4LCpE7yJDLXc9neLMDdpkRHBUQ0g4AgmT8vzO6F75Rf3iRLZ5agc/2skD
jP5RoDFLWHeIlPiRnaW7SZqzrZO28Tc1MfxDXcrN8fZr5mKsXTjy+WYv4n2Rd3NeVsSo0nnyt6LU
FrpW4wpEg6J+FoW2dcaY6x/Y5h0K/fHlu7038tqYEjDhcdi99FV1SO3s98q6rsReAxgIAmAmEjoX
GVYz0r2HNJ0uwQvkQvfJaTwovtuX24RhlnkrbjKwfiI61X+nD/1aXLwSe+G0xzKpCNn5MrXUFElp
hmyEy0VHlxSsSJD+iOLvtxd5ZR8psAmyGohHyOkWAT6IsrZgjhLZ0KyuDwhmt549DNkKOuRiGhoX
+WBG/IyzNAfu6Kqi0ofUW7Sp/kxb09V2Ip+z0FrM3QbkS3cUKOT0i7/Gh3H1mQOhETkPIBgeO4uM
tc91EHoxz5warM20zb3KDXdQcm2KI0IQD2vPnMsdReaPrhZDCxAkmkvVpZ5kDg1QQFFkW99KvfiS
p2tMkuJAfYymkKkAwCPbgQPctBdJQQ5xuSCXI5ljFC4q629pNd75Qe4OExXgofLv0mnttrr0xo82
F45iZzIa6x0IrGaLflGEABzg4uCU8FysvyKS5AJPne787W33vGqVb6cCIwdaskTKtFNKGSUFjsXE
nJt2kteW1QEZ79tWrnwyJsf+ZWWxn3Akt0YS9sUm8aeDqTao7AXPt01cWwgEo5aAR4FEXz5+m6Fz
yiDxiw0Fhi+5BIW4n20hj1qral8JxjDrWXx/1aKP5CxvvjEKWrMwzAIqjuAxOGRb0NvvoVjctQOT
sNCsB7u1icZrOf8Hs4s7IA0bdSxV3CMGQNm+hmAexGhq+Um8favD7c289r0sZDQZDaJyby8Jfjql
UYxmhMirYKA4d57TYcUhrsQMQ3XEqBOlM0DmS5xwAa2bXCssR32Zd8p9BWNR4ja78mfglswwrqKJ
LiuP2CMOkYcxLQaI6WN8NKMmH6yBE91sHZQdd1nkmi7zcDSm/V8jhPkqavYgilYLGFf8kjKaoJui
8MmbexEc7SGoFEjdi43c3U9Ju4kTdE6slVN8zSk1IGjsqBBvuMjw4S9BYWvoxOtz2k7GRjQOEKlG
KzpiAAR5Z/zSXdvUK0vTKDNBtEntGIHMxZ52sPhXkcmjsHV6b4TtMC48iGo2t31xzcoidtDvSVq9
xYqcvibO1yK51/I1b7yEK5Avnq1kEXsRt22R/kYFynmlHgH1jHnsduXjOmrqysWCzyN2yswOBNDL
lCNLYSMIdanYKDLo+/hTNr/MqKV05sNgPMzNX//x1tFBkHm1i+k+een0vNfLGg562FGkN2v8bWt/
1HAlvblyrj6YWHydqUjmRokC6AdaZgf7ZPhBTwGlTdkrDXnFy69EJfpUFoOfzBZwmoWnnOU4pBiN
puR6saE+4CrFQbVa9/aGXYuyVGzJLdA+gY9oSazhR6GZoTNEg+K1f6+rmL+D4wBVbb13vLVE5kqd
A2r4M2sLtytjvbcDFWutl4MMEEHQvzfo9KCysF9Z2ZVj9MGW2NyzzWsTpUJBElvySdmVO+VOSl4c
t2Xmud4rxa59CF+QuNvdtrpmdPHFJKqnuCD3fmO9JYEKm3HqVgk6WLfN/H82kqyPIA9p4nJ+QSrF
oKso8uX32q46MVLotht7Uzy364U+4dGL3JCN/Jethcc3mtaOqgi1w6m9F0wGgg81fhTswnQ8trdX
ds3lz4wtG2bJJEk+DJPFpkSSugiObb1GBHd97wjeVNx02nLLerPToImSOJS57Qfz1O2zB+a6Hih9
URFZG9W5frzObC2SGCvNKQzAJbLJvo4UEZXN/Bbt/VeTmkj0uury4vhcfKkza+L5eebyBhLkc22z
MoETSbbpr3iHCDCUJcV3+219COBKTsP0vZB4sFF5AL2xOM5Tjci4YeaimToCtEOM8WAeIdaApA3a
tLs15pcru4k9xoMcOvfE+OW7a0yMqatTbq3BLb7295CmnVRisOvsQUjjj2sh5NLzP9pbfD257mWp
bCnHDK4YN029YTjaXg9yqtj1w2GNbfnyahHmeFDyaoZMdvlyTvIucpCiKjZVRxux6+TpsYDbeqvH
XXGwpsJZCf6XZw17oC7QlzbIE5ezCUPfNYrqs7wgBXpmBlu5aleO89UlnZlY7CAq8bqZapioDNhB
8hY+bmsvlY4btWsFgasfi5F+JoORA7koPhqy5Gi+GEwQDH6C0BUNzmbXeSZw/e6g/L4dp955bz+e
NTbvzNziesmYIMpGC3Pzrw6KHlRq9rjGpvPSx+oXXgm/wKMo81alNw8b/+dt81c/HR1ym5aZYGBZ
ZKKM5Ma1X+AqaX+qk8p1eGLetnB5kwlOY7IO0YqkK7FI4+MePeXKKujE50+5dYrsL4ayMnuwZmLh
HIlkyDlNOaCJjb2jcPmc5/7WTP+LUhEIayE9DMKEtvSy+Zd2fmNOeUaOE4IrIO14Ie34PWgbQXnd
w6MOI9HbwXiePt3ewiuPlI+Gxek4i8e27+dpaJPJTzUslurW+qtuN/0m6VxzEx6aJ0FdA6n5itXL
WwCr0Gog7CKYlJckF7NVVUbS4hu1Fz2OXv859UIPmaW9s1dQrViDPl/7irz4eToz60jgEn9+tshs
Mgu7yjCXN9+69Fel/w6klZz72kVDhKKtYeKKQMIWF83AamCtZIY3sF3jl3nKd75Xokjmogs6b5GK
8qTPK7vIkM/FbUoT48zo4oSP0FcWSm/8ytKgL904lvPsM1JgyvzYI/v4xoBsKh+cLE0/IcVqtJtB
nivfFeCIaF8NZTo8ZlGozS9GONOPKZO+3+Wkh+qmntNK26k0Ez75SuWHMNrr6HqHOQTRLk8/FhmP
dRuh8NZENnpyfXQXFmP2VGpdDjlLWA21dufY2TDt9TrPQGnOrSTdhaEsv2lQp+LVNBi6gxl0k7R1
FCW5t8Jcf9L8MT9atS/RBipldNq6MD4ESe04+yqPSLrGskmeM9mZ79LMt3dmPHG51mPwakrNz9hS
wl3Fa4ER8Vm0FabWBahibKIxz70onXvXV6xqa9oIY/qjrm0addChWDF/VcoUfkPbEWHpXhO8p0xU
l5lbNeUQPJV9oCE2NzrUsuiOaq2xGdPIbr9YXR0a+7ooK8OTjU4uN84oScGuLVvHdoe2UJnYdAaa
F2kYpM9KQZsfZpcwOzmNmiGOhiZ67vG/lZJX982U7arSsIP9pM/1m1xKfeZ1sh+0u8wvjaexb7mj
mtyO612RtFL0kOR1WsGoFSHqzaCG9r1qEUaBvQ8YrDIHbhol/gvJcfOH79R8AtoQtPthcHIhoTgk
Hi3I8kWfdfk+H8bfiEJ3m6FNsl0Yo75u26NyytmhbTXb086PhpMp1ei4MX4C45a5ixUhI987zVOg
jcgPKsI3FCave//7PIA9csrPUmSwhhS5JDWYnjR4KNwM+h6vNoLSUxoj2urq+KmYqrDaTPkYTJsW
QoqmmAekK3Izl13009NdbPTVtMVndJSRRtNtizr/YYw51FSDIW3iVj2V/tTuZrVq3KbK9Y3cOq5t
z0e1bjZtW24jp/lamL5r9PrfmRDDkNT8T+PIvSe3MvIgpRN5lhwyDJ+2qNvnQ7nT2vbBb0dJ6Lpq
+7ihKxppWyqaO7+J9lkIZVnR2C9yX3RenI5vWerXnzpLD9gGSHJNNQpOQeqP+zAwD4Eh/0o056fe
osdYAbBHOLU82tC49BY67Z3/lOvdfpaIvKV6TKbgkzCaSeopraWjgRD1xqq79sgI4ienLGEZMzKk
2xGI/IFEp5251A4BcKHO4PEZXTVR9opTIrpdmtMDvNKxp9W5uvXl0dgPySy/xPwxPHczYklRvGlm
bd9b+rxt4uJ+snIqp37xnLXRSR2to5IlB/BNB9PwvSwwa/S44geUqR/mZOY7xew35S71aCpSjTCq
PLlJ0fzVOblNiTw9DLX1Wmejui0zwKxOPmlb3x5elX40D5bSvaY8pdw0JHCMXdVstAx1T3/qnm1L
qZE6seatJUn7cpr2TeDvTa3/agb53pFm9W1oknI/Jv14n8a6ubWz6Isfzz/QWzuEWdkdS7VDG35O
nspS0ly91bdRaLuhkbzR+/yr0PtPEPl4kRxCmui8psl43wW+Z/toXRf+w6jAdSGllqvaEwdM/y1L
CLaHoOrz3hs0n4l53fhLmcfjUDnPjVzrW1WThk2hpbVblU23yef+FKVw0BBQP4W5wn/A+VX18mum
tJvcb7dznkJfpUpveCcZaDQ+hVGeunXL7JpuflNzaR+p5XNdwl1TWvu5tWo0LxvfDbPYfhzrytkG
k/p11tSdKcfFQyepLUrsClTbYRgclaqV9pUZ7xECf+vN/NOoh/lBz5lzrO24+mSgarAJi7DYltrw
LZUQF6nGtPHG0EZdEtjrtvEN/05qaH+gwHRX5KHsmgR2pGDtY4d2Y2WMr30muUnyu6gVicrZ6AEo
ck1A866ZooRNvFTAqhxA/0GIYxU/JKPfF2bxYwyrgzInn2CzOaRZ8M0uk23Vzns7VjkbSnKC3e8u
RvPRNWcZydJ5ot/Tyie90LtNCSRxQynDnW0cXupZhjM/zob108oI0DFzcnX/EDIIvosKXpk1mu46
eMVgfqvlqtlqQRA+aQkUluFsCG0D3dnNqVxvk1z+PCe8OGL4v05ypvGRdCTYJMXZypCVgjR/kCMg
034jf+onHWIw626y85+NSQsMJbvfE/KpUqEfdT+7M3rlW8NABsI80l02BV8Hs937dnSvV+NjGenE
8tR5shPpW1Bq3IIWDD319GhlyV0+Vl8yU/5WKE64k4x8l1Qcb7XX4E1sJ8JG2RpPmZMDVWEwlp57
tI2k0GY9reQh936gkHUXC0jAXEVffdEjG1sYGOZm3qLn/FxZ1l6PQvlTxHRht43t/idJaPCSsj/1
drSyMH6Ih2LgNkxUyMGayfFKhvS8OkOYzsn/D3VX1tw2jm7/Ste8s4b7cmumq5qkNsuyndhx0nlh
KbZCghtILATAX3+POt0T23Hk2zdVrsljHFEQCODDt5zvnAk3SJkAxFEGfWbVNkKLuvwk26Zfic61
b8tKlR7IfU3lnNVxwG7jSRSo6wKDccmslqwiCFDnlZuMadAbP68h6LrkDPo9Xd07WVVzdWF6YVZu
zwvo79GIVKuCMexCe2ozyLS3GWhdycrvujhzQigexMynC2mcGZm7eNC/O1ajZWqrJv7AZV/uPST7
cyUcs/ChhZ27xkEF7EiE3w2RvOg8Xr8DMZKT+3bbLSKh7E3nhtBFH4v3ji0LaKJ7bMxmBkVp2XWA
aFdtW29JCfOsR3AbGdOD2aAMHbII6zHJO2smH+cksd4jSwb1VeLJ8Z3pChSCO2mgGd9F7gWRY0lz
VnggAteoEPSl1aHUGGIVUgJtuzmVcQ+fRBHLW1lzGYCYxgMqHPFfPjaBXrGyQZt70cH4hhG5Kr2W
3jeiZvcFgU+YDWZmbwnMyo2T8HDlh0IXGe0kETn4Y/tyifAa7qEdNRo6spHpROaKmQCGO8dNply4
CwyVt9Rq4ru+4kOqrDiNI43EjRPdy8ATwF2CcqVVgNSYaFNa/GIysZ8O4fyWNslVPGOlhiG660i4
Ah+UWrYmOSOz7a8Z0FFpUkef3LYM07Y1Ljoe1MXI2FJ7/CYSWi2khUgZBJt628nQvynn0t+MSMMt
ojERJEUf1OSlZQ2+Qfj/DsRxJWTprfFOa3sl+/ounIcz5FoXcxk5Z54XoPNxnL2tW6pBZwC1ZWVA
V1NfviU+GAP6eVPzYEVEsZAN7MIwQC7XSicf1alx2qATN4Rs4nAzVfNn6cAYlkqu/EGRrGuUt+Ta
lqtQMOcND3xIfJnIXuAK6c8qLQCPnjW7RouWWdlBbfDl1ZAj530zd9HeCqFGS0hSZH6sj7BuVS+0
NwV5EjB9Fs3y1jGwjXCEV9ItP/hMEUhLj/YGNJ3oexnWqsZ7En2TFZ14U3vDRY3rkIsS6jtqbYvK
XsgxkTTr5vo97exF0vQfHXC8pYy7l8SURQrGEw77z/g6mhogF2xzWTpRsUmo2+ACDqbUnpx1oXo4
R9GutkKeQm/byqyKvwlxnaTRRBnYcCo363q+NUKt26rfCaqWXoj2CU0vbcB2YDlWZigZ2Ebkcmbl
QiuRyUJiu9fhLimOlHrQDnLiW7SQ3JXFcGhK/yPEcs9GaV06HpvyUNZy0TcFX3WquHKhjV0l9MqH
dnNWWIDqcljpXJk2XCDFKVNNuyHXnoPT1fr90inGVRMGIWi0pZUWjp7O24HGu04xHK4g1imthl2v
AbZJalalKoA6G3SmW2mvXTqsJiS2VZQsWA0Bp4m0nxxoHG8LU4ssKWyyMG7Uv4MhK1ZFAJiCSxfQ
Gd+ShuQMPIhbVzB5TXxT5i0VONgUhYAh7VX/JmyKYl8GAex9LK5oF5O0UFEawC3PhNvGaa0hblwb
rQF6qBPZZbWgpM2qSul8CG2Gg9B6lb/o+ziUcCdEfduM7dWgo1XD72c2niUCCQYQlCdOv4bQVgYO
qm2oxjPF5s99XR4BYWLFap+DVFo5S7frgpUMW8Q5dXOhde8ugQTJuSXfRiT0tp5jPnuxyVQ088wO
2CaGHiSRKCu0tqQfHcmtbW0XNK86Z164SrFlUsybSIUQ/JEByR1/1he64/e9tqNlJznE2d15xsFE
lDZz88HMsktSjRZt4McIR1ErqCaDXHVXR9O+RfHf3sL21fMKjmu4tkO8BFObo43i8LDSMNQUHMpV
BEcLF6j9Ca4s/X1M+kjn9RAUWaGKDgTBPNRLXOsO3OJWBWu74GY3V4E4h+Q3/OvJCRel1nrZqYCV
KVY4REdGNIFlFToj3QQnvfArRC3S3QgbsWY4DfV+FEm9atVQrHy7L6a0tWJ54NEw3s52182ZW/b+
vuMCgTXaHUDiNnserTOQJDYsd4Ua1zVT7YpSMS0QaABY3w7+io4BmN7sor1GOsLbQIRvTgmHSgBS
E3FGAt94iA2USVI3mcwbG8gZklodgf+Dkewy8/mkyKKzzXCltWMANplVe4M0Otu01egFacs9dRtb
cbXtbF5f1pHffmghP7LzY1Yc799+maA17ZIHvXWg3XjsP1HdFGWBCybWqPJojrJjiaZJE4u3sa3j
1Or7qMss4utrA8mgDs65cD9GJXhFUgh+SJWHwtd7uyIWw21IAQEDKcDwznJ5/b6sdXFuaKRT5gxX
1BrLZRwYBLucv4sj4m+TqNM7iRZ+6DG2ut1YiFEXNRhS5szpEw4+CmXEFn6xfe8xGq9CUk1AGHDt
nklbA3BftQBpSl5dkKbBOYP8SV56jbNlQRssYzORnTuCrdrwCKkqbdfv7ItZWfO6K3tEEJpBwArN
/bBjDFHGMDTtOSlslwLJH9fr0KaAC8kJfV3IZ1fnk5rA7YSumSWwkDxjpnH81IvU+Nltwng4s/yy
XUY9nc7Rm6f8LajIEXp0pLTeQqauuY3o4LK0j6YAtE2ijKK0ZXH3XvrGedtQpKPSXrhjlXai1JAx
diGNDWveFiaj6ND6yEGvBzJnitYdZDhCeDSVT6tdOeLSyUKqBjcvjiVdxcDNzVRxzxomcNuPU+4T
yneyJsW7QI2QnExMYy+7kI97FsRmy6dKL8KohtPS27O4dxH93ExT1d4OgpApsxEyrxWNwc9Yhshw
Gpnoc+619o5PPskHYWAJERs5ClmAxKTwAU1WDg0kkRNlXySFVaxNm1hrUPy4MoUXM6HSXc3jOYmc
JKvbDq4Zjk2Vc6Gara8oWVue6+2CsnFAo3bkCY4o/gChzqj85BeRtUaYCyugQ9WcY4Xhh4Kw5cIZ
ZroY7Vbm3hiLm3Coi8sxMsMNdazhTo4or+jJsa58t5ZnhWgAj604qMUDCj1PQtRqgg06SyJZfUhC
AkXiIghQU4Pvec7agVwabpogrT3Ozht0c28917IvJy2EnTrVQMsj0AeSQoNv3re9YkjKcQu82ITR
36WevLxoqspJ7QQGE1mxKPjYzHV8TllpY6GP4hoKFKXXGo6Zm4G5ToB/E3IY67J2ooxKdTvYdbNU
MRcHig23lYPvj5ljG3tHEsFRNeg0v6vdOd76GhwLWaAj+REGYbyVtSUuWe8PwDk141gtCm+woBpH
OF/DUUYntsJ/Cc+Dj9J38RXoB9VHyn17U4bQ0A3b2skhywo725J6+H3uqb6xYBrumoQOa92AZCgd
oTA+p7GJzYepLOLD4DUTQgWnvZFcqndiaPVl0xUEvgtrFclD3wT99pjOxn02ot5hIa8NxY96vKlq
v9cZsqD1NgBwQpyDUrm77eCbfCCxhIJLObZuruvRPQth1sASr0J5hcJ8tIqjlkOnth2qFUXyBiYu
aOTOHUS1tllMP6BLDY5iEhRXDC50hMCrR/7GiqBqG9UFulHt6syldrsIkn54I3U/7ZrC8X+fvah6
G1ht/4423HcyU9A5wYUXx/ekaKCIBQJgeOIEPnbq9h47r0eTyKxFMYxfWBKJokR79YWbOGBrs5qa
KKxBUy+MMsxa+b3iFz0BLUY62Yot7LZtbCTqNDhG+AhgkJrEsK6gKfs5AIr7rpuQDoCIrT02SDRa
SHtWzShxC4+QcUzn2VdZV9beTUGdWWTYtdB0BYmf3a9rv7Rgb2VMcd8UVoS6AaxOeDPME3wrOPs1
2ZBm7Fc+hEuwSAmUwFw0JlJchDWzGoiBDXZUXnkllujacvwaeRNUiFl41pbAKZ+HA+vcywaidr1K
B1z6lchRPXDrpTc4BNdWPIC8Dlo17ug6163AGR9XreijKE+Egw7kjfLgFH9+IfX+TNEQAumgfgNn
lPcts/BQwRP2HNDHH6nsAJbLm4X+lFxYt8gULAZQKML5yYB2Pz3sM3UMjJeA19rH3QVs2eM6Rux7
1E1KB1yh7JPtwN0gkLlcnh7jGdQyOvUjHwgHlF0hwfWkQs9j05WjharaUdYMoubozrCitP/kvHE3
GnXso3yCed/RvHz/wsjflkdjYEJsJ/YAxHLRAP14ek1bKk8TEAMeeyXFNfQSQeY5Z9UaFDnr/0fH
ZHykSUa5Bgg9CFM8eZmNFxfOhPONJrQj7sGz0w4AFQQEq3BJqvQl2shjpfBxMRbDHdu1wHBybKB6
UoNqu94aHbSpp7AytDGpTXeOuG/QARG5W3eas9Mv8/jrnwx3ZCcOoHcIphPEcI/fpetNBmcANLas
AyvOUG6LoNvFFKy9ekQ2jF6fHu64KU4N96QQ1YjIL8Kx69Om66LPYDDgm2hU8ypwLHVdxUi/B03j
XRAv6M9KiVzj6eGfebmYLSCP4E1Aq+1T1CPxFI/1jNkiB7Ca4MU3NkxUGIqcdMF57bRn2mUvVPOf
n/LXMY+7+UFRsbC4TacCYx53q0R7mlpWa/EiKcgzFVp0bQPED0l41IXdp/sUnFnChkow2A1Qm1l0
b8UV2rRyPw9wPvP5NlyD+/nv0vcCkIvWBVRL0TsJuMeTverNnpBtiap3kFxKdLoX3qfT6/Xs7nww
wJOqcz1ZbmkZECpIqAE41o0unZyPZ+HwpjP+CyfhGYMGeDEqWyBEB9vWN1aTVb47uUXZpfaqvDCL
eYNGLCDR8mOPG8uOJF8NWCijjfXFkv7zTv9PeaBXX7Y///Vf+PcdHQySD5V48s9fd+SOUU4/i38d
H/vPxx4/9OvlcOivBTscxG4/PP3kowfx/X+On+/F/tE/Fr0gwryRB2beHrhsxen//fJLjxPZs0Mv
/niaHPiD51/+xB/TeP4rfsF34uds7v/9D3TyHMEf//zr019+6J8fuNh3h3//YyFRIgW+5MtDN2bA
3+4ovqHHXx48+uC3mgcjeLDjgA9jhL8W53tz+us3PPiix5M+8YEHA0JV6MGvemZCGaP7mXwzI9mL
4+qU4At58PyDH/NwVl/f22vN6nh0Ti3ThrP9oT08Xae/NSsfgKQvu+HVZvXCWm3Evv3plsrDdXRq
qc7Jp31Pf7KV8l9YKUzqBxcKQNA/3ttr7b3ghRldMdLfkWEv6C/35Jcd7fd3P7Zor280jjpPp3bi
bs/o3Q/O6rWXLYS7fHpOrfjJjDuYq07P6bql06H/wfP16tsP03ph//3Gv53Tf69n8Yd/f2rrXaPd
rv/Z9p770t4j7NtF+u92KyCRdfo83ciePLP1/tasXtnuAdr/0pzYXfWDKwXqU/RixAnyEtDPQEx2
hONix7/SlXyEVp86XwBLwghaCzYfSjqRn+6o/RkIfQlSF38EYY9CLfgY4tAfSvaT+RlfY7zvTu2x
tzu0+/7wJXh8pa31gkH4rS0PP2rmXtkgfA3WvvvSd4d7Qn+5ZOSAffV4Be7oA2PHHxy77wS8/7nL
X2m9XvJcM7BI/Ngp+fr+XmlKSKSdMm6/tYgKf9B+v7qLd2ywPDWpBTAs4sfW6ZWP1feuwO8eMuTH
9qd9if/D8fpqQV9pM/71Vr87rd8+M3L3jS/73+ucH2ltTu3EJdsjmv9mQg+s4IPnv2MEX/14JV8y
p99dpBWSLq04MPazzeuF1MuKHV5zrV46c39m9u/aw579+r8AAAD//w==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latin typeface="Times New Roman" panose="02020603050405020304" pitchFamily="18" charset="0"/>
              <a:ea typeface="Times New Roman" panose="02020603050405020304" pitchFamily="18" charset="0"/>
              <a:cs typeface="Times New Roman" panose="02020603050405020304" pitchFamily="18" charset="0"/>
            </a:defRPr>
          </a:pPr>
          <a:endParaRPr lang="it-IT" sz="900" b="0" i="0" u="none" strike="noStrike" baseline="0">
            <a:solidFill>
              <a:sysClr val="windowText" lastClr="000000">
                <a:lumMod val="65000"/>
                <a:lumOff val="35000"/>
              </a:sysClr>
            </a:solidFill>
            <a:latin typeface="Times New Roman" panose="02020603050405020304" pitchFamily="18" charset="0"/>
            <a:cs typeface="Times New Roman" panose="02020603050405020304" pitchFamily="18" charset="0"/>
          </a:endParaRPr>
        </a:p>
      </cx:txPr>
    </cx:legend>
  </cx:chart>
</cx: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2.sv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xdr:col>
      <xdr:colOff>426720</xdr:colOff>
      <xdr:row>2</xdr:row>
      <xdr:rowOff>102870</xdr:rowOff>
    </xdr:from>
    <xdr:to>
      <xdr:col>8</xdr:col>
      <xdr:colOff>106680</xdr:colOff>
      <xdr:row>17</xdr:row>
      <xdr:rowOff>95250</xdr:rowOff>
    </xdr:to>
    <mc:AlternateContent xmlns:mc="http://schemas.openxmlformats.org/markup-compatibility/2006">
      <mc:Choice xmlns:cx6="http://schemas.microsoft.com/office/drawing/2016/5/12/chartex" xmlns="" Requires="cx6">
        <xdr:graphicFrame macro="">
          <xdr:nvGraphicFramePr>
            <xdr:cNvPr id="3" name="Grafico 2">
              <a:extLst>
                <a:ext uri="{FF2B5EF4-FFF2-40B4-BE49-F238E27FC236}">
                  <a16:creationId xmlns:a16="http://schemas.microsoft.com/office/drawing/2014/main" id="{56820538-08DA-F7AA-2C8E-964C9E974DF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
              <a:extLst>
                <a:ext uri="{FF2B5EF4-FFF2-40B4-BE49-F238E27FC236}">
                  <a16:creationId xmlns:a16="http://schemas.microsoft.com/office/drawing/2014/main" id="{00000000-0008-0000-0100-000002000000}"/>
                </a:ext>
              </a:extLst>
            </xdr:cNvPr>
            <xdr:cNvSpPr>
              <a:spLocks noTextEdit="1"/>
            </xdr:cNvSpPr>
          </xdr:nvSpPr>
          <xdr:spPr>
            <a:xfrm>
              <a:off x="3728720" y="636270"/>
              <a:ext cx="4632960" cy="265938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238125</xdr:colOff>
      <xdr:row>5</xdr:row>
      <xdr:rowOff>66674</xdr:rowOff>
    </xdr:from>
    <xdr:to>
      <xdr:col>3</xdr:col>
      <xdr:colOff>1158875</xdr:colOff>
      <xdr:row>10</xdr:row>
      <xdr:rowOff>73024</xdr:rowOff>
    </xdr:to>
    <xdr:pic>
      <xdr:nvPicPr>
        <xdr:cNvPr id="2" name="Elemento grafico 1" descr="Indietro con riempimento a tinta unita">
          <a:extLst>
            <a:ext uri="{FF2B5EF4-FFF2-40B4-BE49-F238E27FC236}">
              <a16:creationId xmlns:a16="http://schemas.microsoft.com/office/drawing/2014/main" id="{3E6BA07A-852D-4119-B0E8-8D59FD16AE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097886">
          <a:off x="4794885" y="1019174"/>
          <a:ext cx="920750" cy="920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76200</xdr:colOff>
      <xdr:row>1</xdr:row>
      <xdr:rowOff>15240</xdr:rowOff>
    </xdr:from>
    <xdr:to>
      <xdr:col>16</xdr:col>
      <xdr:colOff>586740</xdr:colOff>
      <xdr:row>27</xdr:row>
      <xdr:rowOff>45720</xdr:rowOff>
    </xdr:to>
    <xdr:graphicFrame macro="">
      <xdr:nvGraphicFramePr>
        <xdr:cNvPr id="2" name="Grafico 1">
          <a:extLst>
            <a:ext uri="{FF2B5EF4-FFF2-40B4-BE49-F238E27FC236}">
              <a16:creationId xmlns:a16="http://schemas.microsoft.com/office/drawing/2014/main" id="{62AD849A-F537-9A78-2DEB-DC21241AFB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214953</xdr:colOff>
      <xdr:row>0</xdr:row>
      <xdr:rowOff>462162</xdr:rowOff>
    </xdr:from>
    <xdr:to>
      <xdr:col>24</xdr:col>
      <xdr:colOff>300011</xdr:colOff>
      <xdr:row>23</xdr:row>
      <xdr:rowOff>106253</xdr:rowOff>
    </xdr:to>
    <xdr:graphicFrame macro="">
      <xdr:nvGraphicFramePr>
        <xdr:cNvPr id="2" name="Grafico 1">
          <a:extLst>
            <a:ext uri="{FF2B5EF4-FFF2-40B4-BE49-F238E27FC236}">
              <a16:creationId xmlns:a16="http://schemas.microsoft.com/office/drawing/2014/main" id="{5E2FA9B7-8FD8-3998-807C-3D8CBC621A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314531</xdr:colOff>
      <xdr:row>0</xdr:row>
      <xdr:rowOff>460716</xdr:rowOff>
    </xdr:from>
    <xdr:to>
      <xdr:col>31</xdr:col>
      <xdr:colOff>391577</xdr:colOff>
      <xdr:row>23</xdr:row>
      <xdr:rowOff>104807</xdr:rowOff>
    </xdr:to>
    <xdr:graphicFrame macro="">
      <xdr:nvGraphicFramePr>
        <xdr:cNvPr id="12" name="Grafico 11">
          <a:extLst>
            <a:ext uri="{FF2B5EF4-FFF2-40B4-BE49-F238E27FC236}">
              <a16:creationId xmlns:a16="http://schemas.microsoft.com/office/drawing/2014/main" id="{B66B58F8-3293-4164-90DC-7689FC620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111332</xdr:colOff>
      <xdr:row>0</xdr:row>
      <xdr:rowOff>472044</xdr:rowOff>
    </xdr:from>
    <xdr:to>
      <xdr:col>38</xdr:col>
      <xdr:colOff>188377</xdr:colOff>
      <xdr:row>23</xdr:row>
      <xdr:rowOff>116135</xdr:rowOff>
    </xdr:to>
    <xdr:graphicFrame macro="">
      <xdr:nvGraphicFramePr>
        <xdr:cNvPr id="13" name="Grafico 12">
          <a:extLst>
            <a:ext uri="{FF2B5EF4-FFF2-40B4-BE49-F238E27FC236}">
              <a16:creationId xmlns:a16="http://schemas.microsoft.com/office/drawing/2014/main" id="{1B14E924-FAF3-49FA-86CF-354B80440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536863</xdr:colOff>
      <xdr:row>23</xdr:row>
      <xdr:rowOff>138544</xdr:rowOff>
    </xdr:from>
    <xdr:to>
      <xdr:col>24</xdr:col>
      <xdr:colOff>7772</xdr:colOff>
      <xdr:row>46</xdr:row>
      <xdr:rowOff>128998</xdr:rowOff>
    </xdr:to>
    <xdr:graphicFrame macro="">
      <xdr:nvGraphicFramePr>
        <xdr:cNvPr id="14" name="Grafico 13">
          <a:extLst>
            <a:ext uri="{FF2B5EF4-FFF2-40B4-BE49-F238E27FC236}">
              <a16:creationId xmlns:a16="http://schemas.microsoft.com/office/drawing/2014/main" id="{2D0D3737-F315-4D21-9289-EDBD2D9BF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34636</xdr:colOff>
      <xdr:row>23</xdr:row>
      <xdr:rowOff>138546</xdr:rowOff>
    </xdr:from>
    <xdr:to>
      <xdr:col>31</xdr:col>
      <xdr:colOff>111682</xdr:colOff>
      <xdr:row>46</xdr:row>
      <xdr:rowOff>129000</xdr:rowOff>
    </xdr:to>
    <xdr:graphicFrame macro="">
      <xdr:nvGraphicFramePr>
        <xdr:cNvPr id="15" name="Grafico 14">
          <a:extLst>
            <a:ext uri="{FF2B5EF4-FFF2-40B4-BE49-F238E27FC236}">
              <a16:creationId xmlns:a16="http://schemas.microsoft.com/office/drawing/2014/main" id="{09BB38C7-A6C7-4076-B39B-43DD50BB3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103909</xdr:colOff>
      <xdr:row>23</xdr:row>
      <xdr:rowOff>138544</xdr:rowOff>
    </xdr:from>
    <xdr:to>
      <xdr:col>38</xdr:col>
      <xdr:colOff>180954</xdr:colOff>
      <xdr:row>46</xdr:row>
      <xdr:rowOff>128998</xdr:rowOff>
    </xdr:to>
    <xdr:graphicFrame macro="">
      <xdr:nvGraphicFramePr>
        <xdr:cNvPr id="16" name="Grafico 15">
          <a:extLst>
            <a:ext uri="{FF2B5EF4-FFF2-40B4-BE49-F238E27FC236}">
              <a16:creationId xmlns:a16="http://schemas.microsoft.com/office/drawing/2014/main" id="{97C55958-86BF-48C2-8A43-61FE8B921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536864</xdr:colOff>
      <xdr:row>46</xdr:row>
      <xdr:rowOff>121227</xdr:rowOff>
    </xdr:from>
    <xdr:to>
      <xdr:col>24</xdr:col>
      <xdr:colOff>7773</xdr:colOff>
      <xdr:row>71</xdr:row>
      <xdr:rowOff>111682</xdr:rowOff>
    </xdr:to>
    <xdr:graphicFrame macro="">
      <xdr:nvGraphicFramePr>
        <xdr:cNvPr id="18" name="Grafico 17">
          <a:extLst>
            <a:ext uri="{FF2B5EF4-FFF2-40B4-BE49-F238E27FC236}">
              <a16:creationId xmlns:a16="http://schemas.microsoft.com/office/drawing/2014/main" id="{42139BEB-D750-4080-BE0B-1A89BCF54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588817</xdr:colOff>
      <xdr:row>46</xdr:row>
      <xdr:rowOff>121227</xdr:rowOff>
    </xdr:from>
    <xdr:to>
      <xdr:col>38</xdr:col>
      <xdr:colOff>261257</xdr:colOff>
      <xdr:row>71</xdr:row>
      <xdr:rowOff>111682</xdr:rowOff>
    </xdr:to>
    <xdr:graphicFrame macro="">
      <xdr:nvGraphicFramePr>
        <xdr:cNvPr id="19" name="Grafico 18">
          <a:extLst>
            <a:ext uri="{FF2B5EF4-FFF2-40B4-BE49-F238E27FC236}">
              <a16:creationId xmlns:a16="http://schemas.microsoft.com/office/drawing/2014/main" id="{82C9E232-D5D2-4EFC-9D9D-10516E094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0.19037</cdr:x>
      <cdr:y>0.19232</cdr:y>
    </cdr:from>
    <cdr:to>
      <cdr:x>0.9412</cdr:x>
      <cdr:y>0.19232</cdr:y>
    </cdr:to>
    <cdr:cxnSp macro="">
      <cdr:nvCxnSpPr>
        <cdr:cNvPr id="3" name="Connettore diritto 2">
          <a:extLst xmlns:a="http://schemas.openxmlformats.org/drawingml/2006/main">
            <a:ext uri="{FF2B5EF4-FFF2-40B4-BE49-F238E27FC236}">
              <a16:creationId xmlns:a16="http://schemas.microsoft.com/office/drawing/2014/main" id="{18F12C08-B5D3-5D02-86A3-2CFFAE78A93B}"/>
            </a:ext>
          </a:extLst>
        </cdr:cNvPr>
        <cdr:cNvCxnSpPr/>
      </cdr:nvCxnSpPr>
      <cdr:spPr>
        <a:xfrm xmlns:a="http://schemas.openxmlformats.org/drawingml/2006/main">
          <a:off x="946908" y="835501"/>
          <a:ext cx="3734555" cy="0"/>
        </a:xfrm>
        <a:prstGeom xmlns:a="http://schemas.openxmlformats.org/drawingml/2006/main" prst="line">
          <a:avLst/>
        </a:prstGeom>
        <a:ln xmlns:a="http://schemas.openxmlformats.org/drawingml/2006/main" w="28575">
          <a:solidFill>
            <a:schemeClr val="accent6">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0.18626</cdr:x>
      <cdr:y>0.62166</cdr:y>
    </cdr:from>
    <cdr:to>
      <cdr:x>0.94729</cdr:x>
      <cdr:y>0.62298</cdr:y>
    </cdr:to>
    <cdr:cxnSp macro="">
      <cdr:nvCxnSpPr>
        <cdr:cNvPr id="2" name="Connettore diritto 1">
          <a:extLst xmlns:a="http://schemas.openxmlformats.org/drawingml/2006/main">
            <a:ext uri="{FF2B5EF4-FFF2-40B4-BE49-F238E27FC236}">
              <a16:creationId xmlns:a16="http://schemas.microsoft.com/office/drawing/2014/main" id="{215C66BE-8C3F-4828-B43E-1BDCDBBEF790}"/>
            </a:ext>
          </a:extLst>
        </cdr:cNvPr>
        <cdr:cNvCxnSpPr/>
      </cdr:nvCxnSpPr>
      <cdr:spPr>
        <a:xfrm xmlns:a="http://schemas.openxmlformats.org/drawingml/2006/main">
          <a:off x="811114" y="2700719"/>
          <a:ext cx="3314145" cy="5721"/>
        </a:xfrm>
        <a:prstGeom xmlns:a="http://schemas.openxmlformats.org/drawingml/2006/main" prst="line">
          <a:avLst/>
        </a:prstGeom>
        <a:ln xmlns:a="http://schemas.openxmlformats.org/drawingml/2006/main" w="28575">
          <a:solidFill>
            <a:schemeClr val="accent6">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0.1865</cdr:x>
      <cdr:y>0.85562</cdr:y>
    </cdr:from>
    <cdr:to>
      <cdr:x>0.94753</cdr:x>
      <cdr:y>0.85693</cdr:y>
    </cdr:to>
    <cdr:cxnSp macro="">
      <cdr:nvCxnSpPr>
        <cdr:cNvPr id="2" name="Connettore diritto 1">
          <a:extLst xmlns:a="http://schemas.openxmlformats.org/drawingml/2006/main">
            <a:ext uri="{FF2B5EF4-FFF2-40B4-BE49-F238E27FC236}">
              <a16:creationId xmlns:a16="http://schemas.microsoft.com/office/drawing/2014/main" id="{173086C4-6433-C017-A33E-69B586873816}"/>
            </a:ext>
          </a:extLst>
        </cdr:cNvPr>
        <cdr:cNvCxnSpPr/>
      </cdr:nvCxnSpPr>
      <cdr:spPr>
        <a:xfrm xmlns:a="http://schemas.openxmlformats.org/drawingml/2006/main">
          <a:off x="812800" y="3650247"/>
          <a:ext cx="3316789" cy="5618"/>
        </a:xfrm>
        <a:prstGeom xmlns:a="http://schemas.openxmlformats.org/drawingml/2006/main" prst="line">
          <a:avLst/>
        </a:prstGeom>
        <a:ln xmlns:a="http://schemas.openxmlformats.org/drawingml/2006/main" w="28575">
          <a:solidFill>
            <a:schemeClr val="accent6">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14</xdr:col>
      <xdr:colOff>403411</xdr:colOff>
      <xdr:row>6</xdr:row>
      <xdr:rowOff>0</xdr:rowOff>
    </xdr:from>
    <xdr:to>
      <xdr:col>20</xdr:col>
      <xdr:colOff>234682</xdr:colOff>
      <xdr:row>33</xdr:row>
      <xdr:rowOff>0</xdr:rowOff>
    </xdr:to>
    <xdr:graphicFrame macro="">
      <xdr:nvGraphicFramePr>
        <xdr:cNvPr id="2" name="Graphique 1">
          <a:extLst>
            <a:ext uri="{FF2B5EF4-FFF2-40B4-BE49-F238E27FC236}">
              <a16:creationId xmlns:a16="http://schemas.microsoft.com/office/drawing/2014/main" id="{8BD97A4E-9C5A-4A96-AD24-853D693AA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711572</xdr:colOff>
      <xdr:row>7</xdr:row>
      <xdr:rowOff>14406</xdr:rowOff>
    </xdr:from>
    <xdr:to>
      <xdr:col>42</xdr:col>
      <xdr:colOff>732916</xdr:colOff>
      <xdr:row>33</xdr:row>
      <xdr:rowOff>0</xdr:rowOff>
    </xdr:to>
    <xdr:graphicFrame macro="">
      <xdr:nvGraphicFramePr>
        <xdr:cNvPr id="3" name="Graphique 2">
          <a:extLst>
            <a:ext uri="{FF2B5EF4-FFF2-40B4-BE49-F238E27FC236}">
              <a16:creationId xmlns:a16="http://schemas.microsoft.com/office/drawing/2014/main" id="{078FFF03-950C-4B96-9A14-E31D31F55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0.1756</cdr:x>
      <cdr:y>0.13874</cdr:y>
    </cdr:from>
    <cdr:to>
      <cdr:x>0.35201</cdr:x>
      <cdr:y>0.22897</cdr:y>
    </cdr:to>
    <cdr:sp macro="" textlink="'[2]Reuse_FinLCC_UASB-RBF'!$L$7">
      <cdr:nvSpPr>
        <cdr:cNvPr id="2" name="ZoneTexte 1">
          <a:extLst xmlns:a="http://schemas.openxmlformats.org/drawingml/2006/main">
            <a:ext uri="{FF2B5EF4-FFF2-40B4-BE49-F238E27FC236}">
              <a16:creationId xmlns:a16="http://schemas.microsoft.com/office/drawing/2014/main" id="{23533571-3EF0-4175-8050-16F53BEF3BE6}"/>
            </a:ext>
          </a:extLst>
        </cdr:cNvPr>
        <cdr:cNvSpPr txBox="1"/>
      </cdr:nvSpPr>
      <cdr:spPr>
        <a:xfrm xmlns:a="http://schemas.openxmlformats.org/drawingml/2006/main">
          <a:off x="948465" y="632360"/>
          <a:ext cx="952845" cy="4112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BDAA8D3-0CFC-43AF-9A43-B5ECD9A6FBDD}" type="TxLink">
            <a:rPr lang="en-US" sz="1000" b="1" i="0" u="none" strike="noStrike">
              <a:solidFill>
                <a:srgbClr val="000000"/>
              </a:solidFill>
              <a:latin typeface="Poppins" panose="00000500000000000000" pitchFamily="2" charset="0"/>
              <a:ea typeface="Calibri"/>
              <a:cs typeface="Poppins" panose="00000500000000000000" pitchFamily="2" charset="0"/>
            </a:rPr>
            <a:pPr/>
            <a:t>#RIF!</a:t>
          </a:fld>
          <a:endParaRPr lang="fr-FR" sz="1000" b="1">
            <a:latin typeface="Poppins" panose="00000500000000000000" pitchFamily="2" charset="0"/>
            <a:cs typeface="Poppins" panose="00000500000000000000" pitchFamily="2" charset="0"/>
          </a:endParaRPr>
        </a:p>
      </cdr:txBody>
    </cdr:sp>
  </cdr:relSizeAnchor>
  <cdr:relSizeAnchor xmlns:cdr="http://schemas.openxmlformats.org/drawingml/2006/chartDrawing">
    <cdr:from>
      <cdr:x>0.7724</cdr:x>
      <cdr:y>0.01578</cdr:y>
    </cdr:from>
    <cdr:to>
      <cdr:x>1</cdr:x>
      <cdr:y>0.17247</cdr:y>
    </cdr:to>
    <cdr:pic>
      <cdr:nvPicPr>
        <cdr:cNvPr id="7" name="Graphique 6">
          <a:extLst xmlns:a="http://schemas.openxmlformats.org/drawingml/2006/main">
            <a:ext uri="{FF2B5EF4-FFF2-40B4-BE49-F238E27FC236}">
              <a16:creationId xmlns:a16="http://schemas.microsoft.com/office/drawing/2014/main" id="{2F4B9D28-3E7C-4A33-B6E8-7C065F2294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alphaModFix amt="18000"/>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4903915" y="89648"/>
          <a:ext cx="1445017" cy="890506"/>
        </a:xfrm>
        <a:prstGeom xmlns:a="http://schemas.openxmlformats.org/drawingml/2006/main" prst="rect">
          <a:avLst/>
        </a:prstGeom>
      </cdr:spPr>
    </cdr:pic>
  </cdr:relSizeAnchor>
</c:userShapes>
</file>

<file path=xl/drawings/drawing18.xml><?xml version="1.0" encoding="utf-8"?>
<c:userShapes xmlns:c="http://schemas.openxmlformats.org/drawingml/2006/chart">
  <cdr:relSizeAnchor xmlns:cdr="http://schemas.openxmlformats.org/drawingml/2006/chartDrawing">
    <cdr:from>
      <cdr:x>0.02644</cdr:x>
      <cdr:y>0.77826</cdr:y>
    </cdr:from>
    <cdr:to>
      <cdr:x>0.1436</cdr:x>
      <cdr:y>0.97826</cdr:y>
    </cdr:to>
    <cdr:pic>
      <cdr:nvPicPr>
        <cdr:cNvPr id="5" name="Graphique 4">
          <a:extLst xmlns:a="http://schemas.openxmlformats.org/drawingml/2006/main">
            <a:ext uri="{FF2B5EF4-FFF2-40B4-BE49-F238E27FC236}">
              <a16:creationId xmlns:a16="http://schemas.microsoft.com/office/drawing/2014/main" id="{24D3DD27-5EE7-45A5-89AD-F219582308C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alphaModFix amt="20000"/>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431816" y="4339937"/>
          <a:ext cx="1913014" cy="1115289"/>
        </a:xfrm>
        <a:prstGeom xmlns:a="http://schemas.openxmlformats.org/drawingml/2006/main" prst="rect">
          <a:avLst/>
        </a:prstGeom>
      </cdr:spPr>
    </cdr:pic>
  </cdr:relSizeAnchor>
</c:userShapes>
</file>

<file path=xl/drawings/drawing19.xml><?xml version="1.0" encoding="utf-8"?>
<xdr:wsDr xmlns:xdr="http://schemas.openxmlformats.org/drawingml/2006/spreadsheetDrawing" xmlns:a="http://schemas.openxmlformats.org/drawingml/2006/main">
  <xdr:twoCellAnchor>
    <xdr:from>
      <xdr:col>14</xdr:col>
      <xdr:colOff>403411</xdr:colOff>
      <xdr:row>6</xdr:row>
      <xdr:rowOff>0</xdr:rowOff>
    </xdr:from>
    <xdr:to>
      <xdr:col>20</xdr:col>
      <xdr:colOff>234682</xdr:colOff>
      <xdr:row>33</xdr:row>
      <xdr:rowOff>0</xdr:rowOff>
    </xdr:to>
    <xdr:graphicFrame macro="">
      <xdr:nvGraphicFramePr>
        <xdr:cNvPr id="2" name="Graphique 1">
          <a:extLst>
            <a:ext uri="{FF2B5EF4-FFF2-40B4-BE49-F238E27FC236}">
              <a16:creationId xmlns:a16="http://schemas.microsoft.com/office/drawing/2014/main" id="{2B42B12F-B2AD-44DC-AB95-C0E897BBB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711572</xdr:colOff>
      <xdr:row>7</xdr:row>
      <xdr:rowOff>14406</xdr:rowOff>
    </xdr:from>
    <xdr:to>
      <xdr:col>42</xdr:col>
      <xdr:colOff>732916</xdr:colOff>
      <xdr:row>33</xdr:row>
      <xdr:rowOff>0</xdr:rowOff>
    </xdr:to>
    <xdr:graphicFrame macro="">
      <xdr:nvGraphicFramePr>
        <xdr:cNvPr id="3" name="Graphique 2">
          <a:extLst>
            <a:ext uri="{FF2B5EF4-FFF2-40B4-BE49-F238E27FC236}">
              <a16:creationId xmlns:a16="http://schemas.microsoft.com/office/drawing/2014/main" id="{AC12DB1E-3F57-41AE-9FA8-33F0291B9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533400</xdr:colOff>
      <xdr:row>0</xdr:row>
      <xdr:rowOff>142875</xdr:rowOff>
    </xdr:from>
    <xdr:to>
      <xdr:col>19</xdr:col>
      <xdr:colOff>520129</xdr:colOff>
      <xdr:row>14</xdr:row>
      <xdr:rowOff>171236</xdr:rowOff>
    </xdr:to>
    <xdr:pic>
      <xdr:nvPicPr>
        <xdr:cNvPr id="3" name="Immagine 2">
          <a:extLst>
            <a:ext uri="{FF2B5EF4-FFF2-40B4-BE49-F238E27FC236}">
              <a16:creationId xmlns:a16="http://schemas.microsoft.com/office/drawing/2014/main" id="{C2AD8612-3751-11F1-3C14-15FA0FDB7709}"/>
            </a:ext>
            <a:ext uri="{147F2762-F138-4A5C-976F-8EAC2B608ADB}">
              <a16:predDERef xmlns:a16="http://schemas.microsoft.com/office/drawing/2014/main" pred="{AFBBF26B-1FE3-4506-9A07-D5063FE86D4D}"/>
            </a:ext>
          </a:extLst>
        </xdr:cNvPr>
        <xdr:cNvPicPr>
          <a:picLocks noChangeAspect="1"/>
        </xdr:cNvPicPr>
      </xdr:nvPicPr>
      <xdr:blipFill>
        <a:blip xmlns:r="http://schemas.openxmlformats.org/officeDocument/2006/relationships" r:embed="rId1"/>
        <a:stretch>
          <a:fillRect/>
        </a:stretch>
      </xdr:blipFill>
      <xdr:spPr>
        <a:xfrm>
          <a:off x="9210675" y="142875"/>
          <a:ext cx="9486900" cy="43338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0.1756</cdr:x>
      <cdr:y>0.13874</cdr:y>
    </cdr:from>
    <cdr:to>
      <cdr:x>0.35201</cdr:x>
      <cdr:y>0.22897</cdr:y>
    </cdr:to>
    <cdr:sp macro="" textlink="[3]Reuse_FinLCC_ReclaReuse!$L$7">
      <cdr:nvSpPr>
        <cdr:cNvPr id="2" name="ZoneTexte 1">
          <a:extLst xmlns:a="http://schemas.openxmlformats.org/drawingml/2006/main">
            <a:ext uri="{FF2B5EF4-FFF2-40B4-BE49-F238E27FC236}">
              <a16:creationId xmlns:a16="http://schemas.microsoft.com/office/drawing/2014/main" id="{23533571-3EF0-4175-8050-16F53BEF3BE6}"/>
            </a:ext>
          </a:extLst>
        </cdr:cNvPr>
        <cdr:cNvSpPr txBox="1"/>
      </cdr:nvSpPr>
      <cdr:spPr>
        <a:xfrm xmlns:a="http://schemas.openxmlformats.org/drawingml/2006/main">
          <a:off x="948465" y="632360"/>
          <a:ext cx="952845" cy="4112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BDAA8D3-0CFC-43AF-9A43-B5ECD9A6FBDD}" type="TxLink">
            <a:rPr lang="en-US" sz="1000" b="1" i="0" u="none" strike="noStrike">
              <a:solidFill>
                <a:srgbClr val="000000"/>
              </a:solidFill>
              <a:latin typeface="Poppins" panose="00000500000000000000" pitchFamily="2" charset="0"/>
              <a:ea typeface="Calibri"/>
              <a:cs typeface="Poppins" panose="00000500000000000000" pitchFamily="2" charset="0"/>
            </a:rPr>
            <a:pPr/>
            <a:t>#RIF!</a:t>
          </a:fld>
          <a:endParaRPr lang="fr-FR" sz="1000" b="1">
            <a:latin typeface="Poppins" panose="00000500000000000000" pitchFamily="2" charset="0"/>
            <a:cs typeface="Poppins" panose="00000500000000000000" pitchFamily="2" charset="0"/>
          </a:endParaRPr>
        </a:p>
      </cdr:txBody>
    </cdr:sp>
  </cdr:relSizeAnchor>
  <cdr:relSizeAnchor xmlns:cdr="http://schemas.openxmlformats.org/drawingml/2006/chartDrawing">
    <cdr:from>
      <cdr:x>0.7724</cdr:x>
      <cdr:y>0.01578</cdr:y>
    </cdr:from>
    <cdr:to>
      <cdr:x>1</cdr:x>
      <cdr:y>0.17247</cdr:y>
    </cdr:to>
    <cdr:pic>
      <cdr:nvPicPr>
        <cdr:cNvPr id="7" name="Graphique 6">
          <a:extLst xmlns:a="http://schemas.openxmlformats.org/drawingml/2006/main">
            <a:ext uri="{FF2B5EF4-FFF2-40B4-BE49-F238E27FC236}">
              <a16:creationId xmlns:a16="http://schemas.microsoft.com/office/drawing/2014/main" id="{2F4B9D28-3E7C-4A33-B6E8-7C065F2294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alphaModFix amt="18000"/>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4903915" y="89648"/>
          <a:ext cx="1445017" cy="890506"/>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0.02644</cdr:x>
      <cdr:y>0.77826</cdr:y>
    </cdr:from>
    <cdr:to>
      <cdr:x>0.1436</cdr:x>
      <cdr:y>0.97826</cdr:y>
    </cdr:to>
    <cdr:pic>
      <cdr:nvPicPr>
        <cdr:cNvPr id="5" name="Graphique 4">
          <a:extLst xmlns:a="http://schemas.openxmlformats.org/drawingml/2006/main">
            <a:ext uri="{FF2B5EF4-FFF2-40B4-BE49-F238E27FC236}">
              <a16:creationId xmlns:a16="http://schemas.microsoft.com/office/drawing/2014/main" id="{24D3DD27-5EE7-45A5-89AD-F219582308C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alphaModFix amt="20000"/>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431816" y="4339937"/>
          <a:ext cx="1913014" cy="1115289"/>
        </a:xfrm>
        <a:prstGeom xmlns:a="http://schemas.openxmlformats.org/drawingml/2006/main" prst="rect">
          <a:avLst/>
        </a:prstGeom>
      </cdr:spPr>
    </cdr:pic>
  </cdr:relSizeAnchor>
</c:userShapes>
</file>

<file path=xl/drawings/drawing22.xml><?xml version="1.0" encoding="utf-8"?>
<xdr:wsDr xmlns:xdr="http://schemas.openxmlformats.org/drawingml/2006/spreadsheetDrawing" xmlns:a="http://schemas.openxmlformats.org/drawingml/2006/main">
  <xdr:twoCellAnchor>
    <xdr:from>
      <xdr:col>14</xdr:col>
      <xdr:colOff>403411</xdr:colOff>
      <xdr:row>9</xdr:row>
      <xdr:rowOff>0</xdr:rowOff>
    </xdr:from>
    <xdr:to>
      <xdr:col>20</xdr:col>
      <xdr:colOff>234682</xdr:colOff>
      <xdr:row>36</xdr:row>
      <xdr:rowOff>0</xdr:rowOff>
    </xdr:to>
    <xdr:graphicFrame macro="">
      <xdr:nvGraphicFramePr>
        <xdr:cNvPr id="2" name="Graphique 1">
          <a:extLst>
            <a:ext uri="{FF2B5EF4-FFF2-40B4-BE49-F238E27FC236}">
              <a16:creationId xmlns:a16="http://schemas.microsoft.com/office/drawing/2014/main" id="{4E54FDC8-A861-4EB9-ABC3-6CA12B915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711572</xdr:colOff>
      <xdr:row>7</xdr:row>
      <xdr:rowOff>14406</xdr:rowOff>
    </xdr:from>
    <xdr:to>
      <xdr:col>42</xdr:col>
      <xdr:colOff>732916</xdr:colOff>
      <xdr:row>33</xdr:row>
      <xdr:rowOff>0</xdr:rowOff>
    </xdr:to>
    <xdr:graphicFrame macro="">
      <xdr:nvGraphicFramePr>
        <xdr:cNvPr id="3" name="Graphique 2">
          <a:extLst>
            <a:ext uri="{FF2B5EF4-FFF2-40B4-BE49-F238E27FC236}">
              <a16:creationId xmlns:a16="http://schemas.microsoft.com/office/drawing/2014/main" id="{D47AC468-44ED-46C7-B26F-82F255D51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0.1756</cdr:x>
      <cdr:y>0.13874</cdr:y>
    </cdr:from>
    <cdr:to>
      <cdr:x>0.35201</cdr:x>
      <cdr:y>0.22897</cdr:y>
    </cdr:to>
    <cdr:sp macro="" textlink="[4]Noreuse_FinLCC_Irrigation!$L$7">
      <cdr:nvSpPr>
        <cdr:cNvPr id="2" name="ZoneTexte 1">
          <a:extLst xmlns:a="http://schemas.openxmlformats.org/drawingml/2006/main">
            <a:ext uri="{FF2B5EF4-FFF2-40B4-BE49-F238E27FC236}">
              <a16:creationId xmlns:a16="http://schemas.microsoft.com/office/drawing/2014/main" id="{23533571-3EF0-4175-8050-16F53BEF3BE6}"/>
            </a:ext>
          </a:extLst>
        </cdr:cNvPr>
        <cdr:cNvSpPr txBox="1"/>
      </cdr:nvSpPr>
      <cdr:spPr>
        <a:xfrm xmlns:a="http://schemas.openxmlformats.org/drawingml/2006/main">
          <a:off x="948465" y="632360"/>
          <a:ext cx="952845" cy="4112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BDAA8D3-0CFC-43AF-9A43-B5ECD9A6FBDD}" type="TxLink">
            <a:rPr lang="en-US" sz="1000" b="1" i="0" u="none" strike="noStrike">
              <a:solidFill>
                <a:srgbClr val="000000"/>
              </a:solidFill>
              <a:latin typeface="Poppins" panose="00000500000000000000" pitchFamily="2" charset="0"/>
              <a:ea typeface="Calibri"/>
              <a:cs typeface="Poppins" panose="00000500000000000000" pitchFamily="2" charset="0"/>
            </a:rPr>
            <a:pPr/>
            <a:t>#RIF!</a:t>
          </a:fld>
          <a:endParaRPr lang="fr-FR" sz="1000" b="1">
            <a:latin typeface="Poppins" panose="00000500000000000000" pitchFamily="2" charset="0"/>
            <a:cs typeface="Poppins" panose="00000500000000000000" pitchFamily="2" charset="0"/>
          </a:endParaRPr>
        </a:p>
      </cdr:txBody>
    </cdr:sp>
  </cdr:relSizeAnchor>
  <cdr:relSizeAnchor xmlns:cdr="http://schemas.openxmlformats.org/drawingml/2006/chartDrawing">
    <cdr:from>
      <cdr:x>0.7724</cdr:x>
      <cdr:y>0.01578</cdr:y>
    </cdr:from>
    <cdr:to>
      <cdr:x>1</cdr:x>
      <cdr:y>0.17247</cdr:y>
    </cdr:to>
    <cdr:pic>
      <cdr:nvPicPr>
        <cdr:cNvPr id="7" name="Graphique 6">
          <a:extLst xmlns:a="http://schemas.openxmlformats.org/drawingml/2006/main">
            <a:ext uri="{FF2B5EF4-FFF2-40B4-BE49-F238E27FC236}">
              <a16:creationId xmlns:a16="http://schemas.microsoft.com/office/drawing/2014/main" id="{2F4B9D28-3E7C-4A33-B6E8-7C065F2294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alphaModFix amt="18000"/>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4903915" y="89648"/>
          <a:ext cx="1445017" cy="890506"/>
        </a:xfrm>
        <a:prstGeom xmlns:a="http://schemas.openxmlformats.org/drawingml/2006/main" prst="rect">
          <a:avLst/>
        </a:prstGeom>
      </cdr:spPr>
    </cdr:pic>
  </cdr:relSizeAnchor>
</c:userShapes>
</file>

<file path=xl/drawings/drawing24.xml><?xml version="1.0" encoding="utf-8"?>
<c:userShapes xmlns:c="http://schemas.openxmlformats.org/drawingml/2006/chart">
  <cdr:relSizeAnchor xmlns:cdr="http://schemas.openxmlformats.org/drawingml/2006/chartDrawing">
    <cdr:from>
      <cdr:x>0.02644</cdr:x>
      <cdr:y>0.77826</cdr:y>
    </cdr:from>
    <cdr:to>
      <cdr:x>0.1436</cdr:x>
      <cdr:y>0.97826</cdr:y>
    </cdr:to>
    <cdr:pic>
      <cdr:nvPicPr>
        <cdr:cNvPr id="5" name="Graphique 4">
          <a:extLst xmlns:a="http://schemas.openxmlformats.org/drawingml/2006/main">
            <a:ext uri="{FF2B5EF4-FFF2-40B4-BE49-F238E27FC236}">
              <a16:creationId xmlns:a16="http://schemas.microsoft.com/office/drawing/2014/main" id="{24D3DD27-5EE7-45A5-89AD-F219582308C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alphaModFix amt="20000"/>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431816" y="4339937"/>
          <a:ext cx="1913014" cy="1115289"/>
        </a:xfrm>
        <a:prstGeom xmlns:a="http://schemas.openxmlformats.org/drawingml/2006/main" prst="rect">
          <a:avLst/>
        </a:prstGeom>
      </cdr:spPr>
    </cdr:pic>
  </cdr:relSizeAnchor>
</c:userShapes>
</file>

<file path=xl/drawings/drawing25.xml><?xml version="1.0" encoding="utf-8"?>
<xdr:wsDr xmlns:xdr="http://schemas.openxmlformats.org/drawingml/2006/spreadsheetDrawing" xmlns:a="http://schemas.openxmlformats.org/drawingml/2006/main">
  <xdr:twoCellAnchor>
    <xdr:from>
      <xdr:col>6</xdr:col>
      <xdr:colOff>38100</xdr:colOff>
      <xdr:row>0</xdr:row>
      <xdr:rowOff>3810</xdr:rowOff>
    </xdr:from>
    <xdr:to>
      <xdr:col>15</xdr:col>
      <xdr:colOff>137160</xdr:colOff>
      <xdr:row>22</xdr:row>
      <xdr:rowOff>76200</xdr:rowOff>
    </xdr:to>
    <xdr:graphicFrame macro="">
      <xdr:nvGraphicFramePr>
        <xdr:cNvPr id="2" name="Grafico 1">
          <a:extLst>
            <a:ext uri="{FF2B5EF4-FFF2-40B4-BE49-F238E27FC236}">
              <a16:creationId xmlns:a16="http://schemas.microsoft.com/office/drawing/2014/main" id="{AFCFEF7A-DA46-4D7E-9559-288643C12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198120</xdr:colOff>
      <xdr:row>24</xdr:row>
      <xdr:rowOff>15240</xdr:rowOff>
    </xdr:from>
    <xdr:to>
      <xdr:col>15</xdr:col>
      <xdr:colOff>297180</xdr:colOff>
      <xdr:row>46</xdr:row>
      <xdr:rowOff>87630</xdr:rowOff>
    </xdr:to>
    <xdr:graphicFrame macro="">
      <xdr:nvGraphicFramePr>
        <xdr:cNvPr id="3" name="Grafico 2">
          <a:extLst>
            <a:ext uri="{FF2B5EF4-FFF2-40B4-BE49-F238E27FC236}">
              <a16:creationId xmlns:a16="http://schemas.microsoft.com/office/drawing/2014/main" id="{5CFA65BA-6AF9-4EE4-9D35-EF014192B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0.59077</cdr:x>
      <cdr:y>0.10706</cdr:y>
    </cdr:from>
    <cdr:to>
      <cdr:x>0.59077</cdr:x>
      <cdr:y>0.90334</cdr:y>
    </cdr:to>
    <cdr:cxnSp macro="">
      <cdr:nvCxnSpPr>
        <cdr:cNvPr id="3" name="Connettore diritto 2">
          <a:extLst xmlns:a="http://schemas.openxmlformats.org/drawingml/2006/main">
            <a:ext uri="{FF2B5EF4-FFF2-40B4-BE49-F238E27FC236}">
              <a16:creationId xmlns:a16="http://schemas.microsoft.com/office/drawing/2014/main" id="{5E8DC3E7-6386-8759-78CE-659D749CDDBD}"/>
            </a:ext>
          </a:extLst>
        </cdr:cNvPr>
        <cdr:cNvCxnSpPr/>
      </cdr:nvCxnSpPr>
      <cdr:spPr>
        <a:xfrm xmlns:a="http://schemas.openxmlformats.org/drawingml/2006/main">
          <a:off x="3809881" y="437749"/>
          <a:ext cx="0" cy="3255802"/>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0.59225</cdr:x>
      <cdr:y>0.10684</cdr:y>
    </cdr:from>
    <cdr:to>
      <cdr:x>0.59225</cdr:x>
      <cdr:y>0.90312</cdr:y>
    </cdr:to>
    <cdr:cxnSp macro="">
      <cdr:nvCxnSpPr>
        <cdr:cNvPr id="3" name="Connettore diritto 2">
          <a:extLst xmlns:a="http://schemas.openxmlformats.org/drawingml/2006/main">
            <a:ext uri="{FF2B5EF4-FFF2-40B4-BE49-F238E27FC236}">
              <a16:creationId xmlns:a16="http://schemas.microsoft.com/office/drawing/2014/main" id="{5E8DC3E7-6386-8759-78CE-659D749CDDBD}"/>
            </a:ext>
          </a:extLst>
        </cdr:cNvPr>
        <cdr:cNvCxnSpPr/>
      </cdr:nvCxnSpPr>
      <cdr:spPr>
        <a:xfrm xmlns:a="http://schemas.openxmlformats.org/drawingml/2006/main">
          <a:off x="3819472" y="436846"/>
          <a:ext cx="0" cy="3255801"/>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editAs="oneCell">
    <xdr:from>
      <xdr:col>7</xdr:col>
      <xdr:colOff>533400</xdr:colOff>
      <xdr:row>0</xdr:row>
      <xdr:rowOff>142875</xdr:rowOff>
    </xdr:from>
    <xdr:to>
      <xdr:col>23</xdr:col>
      <xdr:colOff>571499</xdr:colOff>
      <xdr:row>21</xdr:row>
      <xdr:rowOff>231169</xdr:rowOff>
    </xdr:to>
    <xdr:pic>
      <xdr:nvPicPr>
        <xdr:cNvPr id="2" name="Immagine 1">
          <a:extLst>
            <a:ext uri="{FF2B5EF4-FFF2-40B4-BE49-F238E27FC236}">
              <a16:creationId xmlns:a16="http://schemas.microsoft.com/office/drawing/2014/main" id="{73F89F54-689D-41AA-8186-BE03DD6923C4}"/>
            </a:ext>
            <a:ext uri="{147F2762-F138-4A5C-976F-8EAC2B608ADB}">
              <a16:predDERef xmlns:a16="http://schemas.microsoft.com/office/drawing/2014/main" pred="{AFBBF26B-1FE3-4506-9A07-D5063FE86D4D}"/>
            </a:ext>
          </a:extLst>
        </xdr:cNvPr>
        <xdr:cNvPicPr>
          <a:picLocks noChangeAspect="1"/>
        </xdr:cNvPicPr>
      </xdr:nvPicPr>
      <xdr:blipFill>
        <a:blip xmlns:r="http://schemas.openxmlformats.org/officeDocument/2006/relationships" r:embed="rId1"/>
        <a:stretch>
          <a:fillRect/>
        </a:stretch>
      </xdr:blipFill>
      <xdr:spPr>
        <a:xfrm>
          <a:off x="9456420" y="142875"/>
          <a:ext cx="9791700" cy="36976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1880870</xdr:colOff>
      <xdr:row>55</xdr:row>
      <xdr:rowOff>12065</xdr:rowOff>
    </xdr:from>
    <xdr:to>
      <xdr:col>4</xdr:col>
      <xdr:colOff>1327243</xdr:colOff>
      <xdr:row>102</xdr:row>
      <xdr:rowOff>46824</xdr:rowOff>
    </xdr:to>
    <xdr:pic>
      <xdr:nvPicPr>
        <xdr:cNvPr id="2" name="Immagine 1">
          <a:extLst>
            <a:ext uri="{FF2B5EF4-FFF2-40B4-BE49-F238E27FC236}">
              <a16:creationId xmlns:a16="http://schemas.microsoft.com/office/drawing/2014/main" id="{B95A9F12-E9DC-473F-9664-78A9AC054D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870" y="11952605"/>
          <a:ext cx="8681813" cy="82719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428090</xdr:colOff>
      <xdr:row>0</xdr:row>
      <xdr:rowOff>0</xdr:rowOff>
    </xdr:from>
    <xdr:to>
      <xdr:col>22</xdr:col>
      <xdr:colOff>297950</xdr:colOff>
      <xdr:row>26</xdr:row>
      <xdr:rowOff>76723</xdr:rowOff>
    </xdr:to>
    <xdr:pic>
      <xdr:nvPicPr>
        <xdr:cNvPr id="4" name="Immagine 3">
          <a:extLst>
            <a:ext uri="{FF2B5EF4-FFF2-40B4-BE49-F238E27FC236}">
              <a16:creationId xmlns:a16="http://schemas.microsoft.com/office/drawing/2014/main" id="{B01C06A3-3129-95F2-5D64-73B3FB8A91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73820" y="0"/>
          <a:ext cx="7772400" cy="56249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428090</xdr:colOff>
      <xdr:row>0</xdr:row>
      <xdr:rowOff>0</xdr:rowOff>
    </xdr:from>
    <xdr:to>
      <xdr:col>22</xdr:col>
      <xdr:colOff>297950</xdr:colOff>
      <xdr:row>30</xdr:row>
      <xdr:rowOff>76913</xdr:rowOff>
    </xdr:to>
    <xdr:pic>
      <xdr:nvPicPr>
        <xdr:cNvPr id="2" name="Immagine 1">
          <a:extLst>
            <a:ext uri="{FF2B5EF4-FFF2-40B4-BE49-F238E27FC236}">
              <a16:creationId xmlns:a16="http://schemas.microsoft.com/office/drawing/2014/main" id="{D8148541-3685-4A53-ABDE-829F530D36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70310" y="0"/>
          <a:ext cx="7794660" cy="56967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601980</xdr:colOff>
      <xdr:row>4</xdr:row>
      <xdr:rowOff>81129</xdr:rowOff>
    </xdr:from>
    <xdr:to>
      <xdr:col>17</xdr:col>
      <xdr:colOff>45720</xdr:colOff>
      <xdr:row>8</xdr:row>
      <xdr:rowOff>4827</xdr:rowOff>
    </xdr:to>
    <xdr:pic>
      <xdr:nvPicPr>
        <xdr:cNvPr id="2" name="Immagine 1" descr="Immagine che contiene testo&#10;&#10;Descrizione generata automaticamente">
          <a:extLst>
            <a:ext uri="{FF2B5EF4-FFF2-40B4-BE49-F238E27FC236}">
              <a16:creationId xmlns:a16="http://schemas.microsoft.com/office/drawing/2014/main" id="{816704A6-EEC5-4FAE-A0B1-5192467205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70" t="6068" r="12362" b="67782"/>
        <a:stretch/>
      </xdr:blipFill>
      <xdr:spPr>
        <a:xfrm>
          <a:off x="10934700" y="812649"/>
          <a:ext cx="3817620" cy="627697"/>
        </a:xfrm>
        <a:prstGeom prst="rect">
          <a:avLst/>
        </a:prstGeom>
      </xdr:spPr>
    </xdr:pic>
    <xdr:clientData/>
  </xdr:twoCellAnchor>
  <xdr:twoCellAnchor editAs="oneCell">
    <xdr:from>
      <xdr:col>10</xdr:col>
      <xdr:colOff>601980</xdr:colOff>
      <xdr:row>7</xdr:row>
      <xdr:rowOff>137608</xdr:rowOff>
    </xdr:from>
    <xdr:to>
      <xdr:col>17</xdr:col>
      <xdr:colOff>22860</xdr:colOff>
      <xdr:row>10</xdr:row>
      <xdr:rowOff>45055</xdr:rowOff>
    </xdr:to>
    <xdr:pic>
      <xdr:nvPicPr>
        <xdr:cNvPr id="3" name="Immagine 2" descr="Immagine che contiene tavolo&#10;&#10;Descrizione generata automaticamente">
          <a:extLst>
            <a:ext uri="{FF2B5EF4-FFF2-40B4-BE49-F238E27FC236}">
              <a16:creationId xmlns:a16="http://schemas.microsoft.com/office/drawing/2014/main" id="{C1D710D9-1DA0-4CDA-A18A-2E44660416D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284" t="33018" r="7987" b="44433"/>
        <a:stretch/>
      </xdr:blipFill>
      <xdr:spPr>
        <a:xfrm>
          <a:off x="10934700" y="1417768"/>
          <a:ext cx="3794760" cy="433892"/>
        </a:xfrm>
        <a:prstGeom prst="rect">
          <a:avLst/>
        </a:prstGeom>
      </xdr:spPr>
    </xdr:pic>
    <xdr:clientData/>
  </xdr:twoCellAnchor>
  <xdr:twoCellAnchor editAs="oneCell">
    <xdr:from>
      <xdr:col>11</xdr:col>
      <xdr:colOff>7620</xdr:colOff>
      <xdr:row>10</xdr:row>
      <xdr:rowOff>22860</xdr:rowOff>
    </xdr:from>
    <xdr:to>
      <xdr:col>17</xdr:col>
      <xdr:colOff>21590</xdr:colOff>
      <xdr:row>11</xdr:row>
      <xdr:rowOff>296958</xdr:rowOff>
    </xdr:to>
    <xdr:pic>
      <xdr:nvPicPr>
        <xdr:cNvPr id="4" name="Immagine 3" descr="Immagine che contiene testo&#10;&#10;Descrizione generata automaticamente">
          <a:extLst>
            <a:ext uri="{FF2B5EF4-FFF2-40B4-BE49-F238E27FC236}">
              <a16:creationId xmlns:a16="http://schemas.microsoft.com/office/drawing/2014/main" id="{6231D301-CE8B-405F-9080-35E91B1D0F5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662" t="3016" r="10269" b="80535"/>
        <a:stretch/>
      </xdr:blipFill>
      <xdr:spPr>
        <a:xfrm>
          <a:off x="10965180" y="1851660"/>
          <a:ext cx="3763010" cy="449580"/>
        </a:xfrm>
        <a:prstGeom prst="rect">
          <a:avLst/>
        </a:prstGeom>
      </xdr:spPr>
    </xdr:pic>
    <xdr:clientData/>
  </xdr:twoCellAnchor>
  <xdr:twoCellAnchor editAs="oneCell">
    <xdr:from>
      <xdr:col>11</xdr:col>
      <xdr:colOff>297180</xdr:colOff>
      <xdr:row>11</xdr:row>
      <xdr:rowOff>304799</xdr:rowOff>
    </xdr:from>
    <xdr:to>
      <xdr:col>16</xdr:col>
      <xdr:colOff>250719</xdr:colOff>
      <xdr:row>15</xdr:row>
      <xdr:rowOff>67692</xdr:rowOff>
    </xdr:to>
    <xdr:pic>
      <xdr:nvPicPr>
        <xdr:cNvPr id="5" name="Immagine 4" descr="Immagine che contiene tavolo&#10;&#10;Descrizione generata automaticamente">
          <a:extLst>
            <a:ext uri="{FF2B5EF4-FFF2-40B4-BE49-F238E27FC236}">
              <a16:creationId xmlns:a16="http://schemas.microsoft.com/office/drawing/2014/main" id="{44BD68E3-149C-4112-B121-92B1CC1537E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59" t="4271" r="3032" b="54526"/>
        <a:stretch/>
      </xdr:blipFill>
      <xdr:spPr>
        <a:xfrm>
          <a:off x="11254740" y="2316479"/>
          <a:ext cx="3077739" cy="647701"/>
        </a:xfrm>
        <a:prstGeom prst="rect">
          <a:avLst/>
        </a:prstGeom>
      </xdr:spPr>
    </xdr:pic>
    <xdr:clientData/>
  </xdr:twoCellAnchor>
  <xdr:twoCellAnchor editAs="oneCell">
    <xdr:from>
      <xdr:col>17</xdr:col>
      <xdr:colOff>45721</xdr:colOff>
      <xdr:row>4</xdr:row>
      <xdr:rowOff>83819</xdr:rowOff>
    </xdr:from>
    <xdr:to>
      <xdr:col>22</xdr:col>
      <xdr:colOff>289560</xdr:colOff>
      <xdr:row>7</xdr:row>
      <xdr:rowOff>136494</xdr:rowOff>
    </xdr:to>
    <xdr:pic>
      <xdr:nvPicPr>
        <xdr:cNvPr id="6" name="Immagine 5" descr="Immagine che contiene testo&#10;&#10;Descrizione generata automaticamente">
          <a:extLst>
            <a:ext uri="{FF2B5EF4-FFF2-40B4-BE49-F238E27FC236}">
              <a16:creationId xmlns:a16="http://schemas.microsoft.com/office/drawing/2014/main" id="{E63A0464-F7C3-4894-B293-0C6D511C4C9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827" t="15305" r="3320" b="28577"/>
        <a:stretch/>
      </xdr:blipFill>
      <xdr:spPr>
        <a:xfrm>
          <a:off x="14752321" y="815339"/>
          <a:ext cx="3368039" cy="579121"/>
        </a:xfrm>
        <a:prstGeom prst="rect">
          <a:avLst/>
        </a:prstGeom>
      </xdr:spPr>
    </xdr:pic>
    <xdr:clientData/>
  </xdr:twoCellAnchor>
  <xdr:twoCellAnchor editAs="oneCell">
    <xdr:from>
      <xdr:col>17</xdr:col>
      <xdr:colOff>15240</xdr:colOff>
      <xdr:row>7</xdr:row>
      <xdr:rowOff>121919</xdr:rowOff>
    </xdr:from>
    <xdr:to>
      <xdr:col>23</xdr:col>
      <xdr:colOff>113775</xdr:colOff>
      <xdr:row>10</xdr:row>
      <xdr:rowOff>67915</xdr:rowOff>
    </xdr:to>
    <xdr:pic>
      <xdr:nvPicPr>
        <xdr:cNvPr id="7" name="Immagine 6" descr="Immagine che contiene testo&#10;&#10;Descrizione generata automaticamente">
          <a:extLst>
            <a:ext uri="{FF2B5EF4-FFF2-40B4-BE49-F238E27FC236}">
              <a16:creationId xmlns:a16="http://schemas.microsoft.com/office/drawing/2014/main" id="{E52093BA-25CF-4797-8A4D-3CF903317FC4}"/>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123" t="2636" r="7516" b="83350"/>
        <a:stretch/>
      </xdr:blipFill>
      <xdr:spPr>
        <a:xfrm>
          <a:off x="14721840" y="1402079"/>
          <a:ext cx="3847575" cy="4724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314325</xdr:colOff>
      <xdr:row>1</xdr:row>
      <xdr:rowOff>47625</xdr:rowOff>
    </xdr:from>
    <xdr:to>
      <xdr:col>20</xdr:col>
      <xdr:colOff>40241</xdr:colOff>
      <xdr:row>19</xdr:row>
      <xdr:rowOff>141912</xdr:rowOff>
    </xdr:to>
    <xdr:pic>
      <xdr:nvPicPr>
        <xdr:cNvPr id="2" name="Immagine 1">
          <a:extLst>
            <a:ext uri="{FF2B5EF4-FFF2-40B4-BE49-F238E27FC236}">
              <a16:creationId xmlns:a16="http://schemas.microsoft.com/office/drawing/2014/main" id="{954E41CD-E0A5-03B4-A7F5-AD76BCFFF806}"/>
            </a:ext>
          </a:extLst>
        </xdr:cNvPr>
        <xdr:cNvPicPr>
          <a:picLocks noChangeAspect="1"/>
        </xdr:cNvPicPr>
      </xdr:nvPicPr>
      <xdr:blipFill>
        <a:blip xmlns:r="http://schemas.openxmlformats.org/officeDocument/2006/relationships" r:embed="rId1"/>
        <a:stretch>
          <a:fillRect/>
        </a:stretch>
      </xdr:blipFill>
      <xdr:spPr>
        <a:xfrm>
          <a:off x="10458450" y="228600"/>
          <a:ext cx="6410325" cy="4467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314325</xdr:colOff>
      <xdr:row>1</xdr:row>
      <xdr:rowOff>47625</xdr:rowOff>
    </xdr:from>
    <xdr:to>
      <xdr:col>20</xdr:col>
      <xdr:colOff>31678</xdr:colOff>
      <xdr:row>22</xdr:row>
      <xdr:rowOff>236092</xdr:rowOff>
    </xdr:to>
    <xdr:pic>
      <xdr:nvPicPr>
        <xdr:cNvPr id="2" name="Immagine 1">
          <a:extLst>
            <a:ext uri="{FF2B5EF4-FFF2-40B4-BE49-F238E27FC236}">
              <a16:creationId xmlns:a16="http://schemas.microsoft.com/office/drawing/2014/main" id="{49334C0F-8226-4C8A-B571-CA99D587694C}"/>
            </a:ext>
          </a:extLst>
        </xdr:cNvPr>
        <xdr:cNvPicPr>
          <a:picLocks noChangeAspect="1"/>
        </xdr:cNvPicPr>
      </xdr:nvPicPr>
      <xdr:blipFill>
        <a:blip xmlns:r="http://schemas.openxmlformats.org/officeDocument/2006/relationships" r:embed="rId1"/>
        <a:stretch>
          <a:fillRect/>
        </a:stretch>
      </xdr:blipFill>
      <xdr:spPr>
        <a:xfrm>
          <a:off x="10753725" y="230505"/>
          <a:ext cx="6619875" cy="38128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cofilaefr.sharepoint.com/sites/JEPRODUIS/Documents%20partages/22-00050-PRIMA%20Fit4Reuse/WP%20-%20DATA%20&amp;%20DELIVERABLES/WP7%20-%20Holistic%20assessment/DATA%20&amp;%20ANALYSIS/4-Italy%20-%20WaterReuse/4_Italy_TABLEUR.xlsx" TargetMode="External"/><Relationship Id="rId1" Type="http://schemas.openxmlformats.org/officeDocument/2006/relationships/externalLinkPath" Target="https://ecofilaefr.sharepoint.com/sites/JEPRODUIS/Documents%20partages/22-00050-PRIMA%20Fit4Reuse/WP%20-%20DATA%20&amp;%20DELIVERABLES/WP7%20-%20Holistic%20assessment/DATA%20&amp;%20ANALYSIS/4-Italy%20-%20WaterReuse/4_Italy_TABLEUR.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use_FinLCC_UASB-RBF"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use_FinLCC_ReclaReuse"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Noreuse_FinLCC_Irrigation"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vivyg\Downloads\Montecarlo%20BAU%20vs%20WR_1.XLSX" TargetMode="External"/><Relationship Id="rId1" Type="http://schemas.openxmlformats.org/officeDocument/2006/relationships/externalLinkPath" Target="/Users/vivyg/Downloads/Montecarlo%20BAU%20vs%20WR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use_LCI"/>
      <sheetName val="Eau &amp; Energie"/>
      <sheetName val="Reuse_FinLCC_ReclaReuse"/>
      <sheetName val="Balances"/>
      <sheetName val="NP &amp; Mpol"/>
      <sheetName val="Impacts &amp; Benef"/>
      <sheetName val="Noreuse_LCI"/>
      <sheetName val="Noreuse_FinLCC_AS"/>
      <sheetName val="Noreuse_FinLCC_Irrigation"/>
      <sheetName val="Noreuse_EcoLCC"/>
      <sheetName val="Reuse_FinLCC_UASB-RBF"/>
      <sheetName val="Reuse_EcoLCC"/>
      <sheetName val="Results LCA"/>
      <sheetName val="Results LCC-CBA"/>
      <sheetName val="Other data"/>
    </sheetNames>
    <sheetDataSet>
      <sheetData sheetId="0" refreshError="1">
        <row r="10">
          <cell r="L10">
            <v>1425000</v>
          </cell>
        </row>
        <row r="14">
          <cell r="L14">
            <v>5000</v>
          </cell>
        </row>
        <row r="23">
          <cell r="L23">
            <v>2000000</v>
          </cell>
        </row>
        <row r="31">
          <cell r="L31">
            <v>38400</v>
          </cell>
        </row>
        <row r="35">
          <cell r="L35">
            <v>25000</v>
          </cell>
        </row>
        <row r="42">
          <cell r="L42">
            <v>48200</v>
          </cell>
        </row>
        <row r="45">
          <cell r="L45">
            <v>120000</v>
          </cell>
        </row>
        <row r="49">
          <cell r="L49">
            <v>300000</v>
          </cell>
        </row>
        <row r="52">
          <cell r="L52">
            <v>12000</v>
          </cell>
        </row>
        <row r="54">
          <cell r="L54">
            <v>26000</v>
          </cell>
        </row>
        <row r="55">
          <cell r="L55">
            <v>700000</v>
          </cell>
        </row>
        <row r="67">
          <cell r="L67">
            <v>25000</v>
          </cell>
        </row>
        <row r="73">
          <cell r="L73">
            <v>196653.06122448982</v>
          </cell>
        </row>
        <row r="74">
          <cell r="L74">
            <v>309.85425996194124</v>
          </cell>
        </row>
        <row r="75">
          <cell r="L75">
            <v>12823.945882093763</v>
          </cell>
        </row>
        <row r="76">
          <cell r="L76">
            <v>2.7734151356429413</v>
          </cell>
        </row>
        <row r="77">
          <cell r="L77">
            <v>362.77826100351427</v>
          </cell>
        </row>
        <row r="78">
          <cell r="L78">
            <v>27.928474572408529</v>
          </cell>
        </row>
        <row r="79">
          <cell r="L79">
            <v>78.561109908322166</v>
          </cell>
        </row>
        <row r="80">
          <cell r="L80">
            <v>2357.9886076894932</v>
          </cell>
        </row>
        <row r="81">
          <cell r="L81">
            <v>232.79505362539584</v>
          </cell>
        </row>
        <row r="82">
          <cell r="L82">
            <v>1007.6531246196294</v>
          </cell>
        </row>
        <row r="83">
          <cell r="L83">
            <v>111.9614582910699</v>
          </cell>
        </row>
        <row r="90">
          <cell r="L90">
            <v>6000</v>
          </cell>
        </row>
        <row r="96">
          <cell r="L96">
            <v>21780</v>
          </cell>
        </row>
        <row r="139">
          <cell r="L139">
            <v>4166.666666666667</v>
          </cell>
        </row>
        <row r="140">
          <cell r="L140">
            <v>71428.571428571435</v>
          </cell>
        </row>
        <row r="141">
          <cell r="L141">
            <v>1000</v>
          </cell>
        </row>
        <row r="145">
          <cell r="L145">
            <v>4166.666666666667</v>
          </cell>
        </row>
        <row r="146">
          <cell r="L146">
            <v>71428.571428571435</v>
          </cell>
        </row>
        <row r="147">
          <cell r="L147">
            <v>1000</v>
          </cell>
        </row>
        <row r="154">
          <cell r="L154">
            <v>2000</v>
          </cell>
        </row>
        <row r="155">
          <cell r="L155">
            <v>500</v>
          </cell>
        </row>
        <row r="158">
          <cell r="L158">
            <v>21428.571428571428</v>
          </cell>
        </row>
      </sheetData>
      <sheetData sheetId="1" refreshError="1">
        <row r="8">
          <cell r="I8">
            <v>49023.520000000004</v>
          </cell>
          <cell r="J8">
            <v>-61304.056799999998</v>
          </cell>
          <cell r="K8">
            <v>6103.93588</v>
          </cell>
          <cell r="L8">
            <v>13976.054400000001</v>
          </cell>
          <cell r="M8">
            <v>844.85800000000006</v>
          </cell>
          <cell r="N8">
            <v>1905.8256000000001</v>
          </cell>
          <cell r="O8">
            <v>1016.44032</v>
          </cell>
          <cell r="P8">
            <v>5874.12</v>
          </cell>
          <cell r="Y8">
            <v>7048.9440000000004</v>
          </cell>
        </row>
        <row r="9">
          <cell r="I9">
            <v>50788.366719999998</v>
          </cell>
          <cell r="J9">
            <v>-63511.002844800001</v>
          </cell>
          <cell r="K9">
            <v>6323.6775716800003</v>
          </cell>
          <cell r="L9">
            <v>14479.1923584</v>
          </cell>
          <cell r="M9">
            <v>875.27288799999997</v>
          </cell>
          <cell r="N9">
            <v>1974.4353216</v>
          </cell>
          <cell r="O9">
            <v>1053.03217152</v>
          </cell>
          <cell r="P9">
            <v>6085.5883199999998</v>
          </cell>
          <cell r="Y9">
            <v>7302.7059840000002</v>
          </cell>
        </row>
        <row r="10">
          <cell r="I10">
            <v>52616.747921919996</v>
          </cell>
          <cell r="J10">
            <v>-65797.398947212787</v>
          </cell>
          <cell r="K10">
            <v>6551.3299642604798</v>
          </cell>
          <cell r="L10">
            <v>15000.443283302398</v>
          </cell>
          <cell r="M10">
            <v>906.78271196799994</v>
          </cell>
          <cell r="N10">
            <v>2045.5149931775998</v>
          </cell>
          <cell r="O10">
            <v>1090.9413296947198</v>
          </cell>
          <cell r="P10">
            <v>6304.6694995199996</v>
          </cell>
          <cell r="Y10">
            <v>7565.6033994239997</v>
          </cell>
        </row>
        <row r="11">
          <cell r="I11">
            <v>54510.950847109118</v>
          </cell>
          <cell r="J11">
            <v>-68166.105309312465</v>
          </cell>
          <cell r="K11">
            <v>6787.177842973857</v>
          </cell>
          <cell r="L11">
            <v>15540.459241501287</v>
          </cell>
          <cell r="M11">
            <v>939.42688959884799</v>
          </cell>
          <cell r="N11">
            <v>2119.1535329319936</v>
          </cell>
          <cell r="O11">
            <v>1130.21521756373</v>
          </cell>
          <cell r="P11">
            <v>6531.6376015027199</v>
          </cell>
          <cell r="Y11">
            <v>7837.9651218032641</v>
          </cell>
        </row>
        <row r="12">
          <cell r="I12">
            <v>56473.345077605045</v>
          </cell>
          <cell r="J12">
            <v>-70620.085100447701</v>
          </cell>
          <cell r="K12">
            <v>7031.5162453209159</v>
          </cell>
          <cell r="L12">
            <v>16099.915774195331</v>
          </cell>
          <cell r="M12">
            <v>973.24625762440644</v>
          </cell>
          <cell r="N12">
            <v>2195.4430601175454</v>
          </cell>
          <cell r="O12">
            <v>1170.9029653960242</v>
          </cell>
          <cell r="P12">
            <v>6766.7765551568173</v>
          </cell>
          <cell r="Y12">
            <v>8120.1318661881814</v>
          </cell>
        </row>
        <row r="13">
          <cell r="I13">
            <v>58506.385500398821</v>
          </cell>
          <cell r="J13">
            <v>-73162.408164063818</v>
          </cell>
          <cell r="K13">
            <v>7284.6508301524682</v>
          </cell>
          <cell r="L13">
            <v>16679.512742066363</v>
          </cell>
          <cell r="M13">
            <v>1008.283122898885</v>
          </cell>
          <cell r="N13">
            <v>2274.4790102817769</v>
          </cell>
          <cell r="O13">
            <v>1213.055472150281</v>
          </cell>
          <cell r="P13">
            <v>7010.3805111424626</v>
          </cell>
          <cell r="Y13">
            <v>8412.4566133709559</v>
          </cell>
        </row>
        <row r="14">
          <cell r="I14">
            <v>60612.615378413182</v>
          </cell>
          <cell r="J14">
            <v>-75796.254857970111</v>
          </cell>
          <cell r="K14">
            <v>7546.8982600379568</v>
          </cell>
          <cell r="L14">
            <v>17279.975200780751</v>
          </cell>
          <cell r="M14">
            <v>1044.581315323245</v>
          </cell>
          <cell r="N14">
            <v>2356.3602546519205</v>
          </cell>
          <cell r="O14">
            <v>1256.725469147691</v>
          </cell>
          <cell r="P14">
            <v>7262.7542095435911</v>
          </cell>
          <cell r="Y14">
            <v>8715.3050514523093</v>
          </cell>
        </row>
        <row r="15">
          <cell r="I15">
            <v>62794.66953203606</v>
          </cell>
          <cell r="J15">
            <v>-78524.920032857044</v>
          </cell>
          <cell r="K15">
            <v>7818.5865973993241</v>
          </cell>
          <cell r="L15">
            <v>17902.054308008861</v>
          </cell>
          <cell r="M15">
            <v>1082.1862426748817</v>
          </cell>
          <cell r="N15">
            <v>2441.18922381939</v>
          </cell>
          <cell r="O15">
            <v>1301.967586037008</v>
          </cell>
          <cell r="P15">
            <v>7524.2133610871606</v>
          </cell>
          <cell r="Y15">
            <v>9029.0560333045923</v>
          </cell>
        </row>
        <row r="16">
          <cell r="I16">
            <v>65055.277635189355</v>
          </cell>
          <cell r="J16">
            <v>-81351.817154039905</v>
          </cell>
          <cell r="K16">
            <v>8100.0557149056995</v>
          </cell>
          <cell r="L16">
            <v>18546.528263097178</v>
          </cell>
          <cell r="M16">
            <v>1121.1449474111776</v>
          </cell>
          <cell r="N16">
            <v>2529.0720358768881</v>
          </cell>
          <cell r="O16">
            <v>1348.8384191343403</v>
          </cell>
          <cell r="P16">
            <v>7795.0850420862989</v>
          </cell>
          <cell r="Y16">
            <v>9354.1020505035594</v>
          </cell>
        </row>
        <row r="17">
          <cell r="I17">
            <v>67397.267630056172</v>
          </cell>
          <cell r="J17">
            <v>-84280.482571585337</v>
          </cell>
          <cell r="K17">
            <v>8391.6577206423044</v>
          </cell>
          <cell r="L17">
            <v>19214.203280568676</v>
          </cell>
          <cell r="M17">
            <v>1161.50616551798</v>
          </cell>
          <cell r="N17">
            <v>2620.1186291684558</v>
          </cell>
          <cell r="O17">
            <v>1397.3966022231766</v>
          </cell>
          <cell r="P17">
            <v>8075.7081036014051</v>
          </cell>
          <cell r="Y17">
            <v>9690.8497243216862</v>
          </cell>
        </row>
        <row r="18">
          <cell r="I18">
            <v>69823.569264738195</v>
          </cell>
          <cell r="J18">
            <v>-87314.579944162411</v>
          </cell>
          <cell r="K18">
            <v>8693.7573985854287</v>
          </cell>
          <cell r="L18">
            <v>19905.914598669151</v>
          </cell>
          <cell r="M18">
            <v>1203.3203874766273</v>
          </cell>
          <cell r="N18">
            <v>2714.4428998185203</v>
          </cell>
          <cell r="O18">
            <v>1447.7028799032109</v>
          </cell>
          <cell r="P18">
            <v>8366.4335953310565</v>
          </cell>
          <cell r="Y18">
            <v>10039.720314397267</v>
          </cell>
        </row>
        <row r="19">
          <cell r="I19">
            <v>72337.217758268773</v>
          </cell>
          <cell r="J19">
            <v>-90457.904822152253</v>
          </cell>
          <cell r="K19">
            <v>9006.7326649345032</v>
          </cell>
          <cell r="L19">
            <v>20622.527524221237</v>
          </cell>
          <cell r="M19">
            <v>1246.6399214257858</v>
          </cell>
          <cell r="N19">
            <v>2812.1628442119872</v>
          </cell>
          <cell r="O19">
            <v>1499.8201835797265</v>
          </cell>
          <cell r="P19">
            <v>8667.6252047629732</v>
          </cell>
          <cell r="Y19">
            <v>10401.150245715569</v>
          </cell>
        </row>
        <row r="20">
          <cell r="I20">
            <v>74941.357597566443</v>
          </cell>
          <cell r="J20">
            <v>-93714.389395749735</v>
          </cell>
          <cell r="K20">
            <v>9330.9750408721447</v>
          </cell>
          <cell r="L20">
            <v>21364.938515093203</v>
          </cell>
          <cell r="M20">
            <v>1291.5189585971141</v>
          </cell>
          <cell r="N20">
            <v>2913.4007066036188</v>
          </cell>
          <cell r="O20">
            <v>1553.8137101885966</v>
          </cell>
          <cell r="P20">
            <v>8979.6597121344403</v>
          </cell>
          <cell r="Y20">
            <v>10775.591654561329</v>
          </cell>
        </row>
        <row r="21">
          <cell r="I21">
            <v>77639.246471078834</v>
          </cell>
          <cell r="J21">
            <v>-97088.107413996724</v>
          </cell>
          <cell r="K21">
            <v>9666.8901423435418</v>
          </cell>
          <cell r="L21">
            <v>22134.076301636556</v>
          </cell>
          <cell r="M21">
            <v>1338.0136411066101</v>
          </cell>
          <cell r="N21">
            <v>3018.2831320413488</v>
          </cell>
          <cell r="O21">
            <v>1609.7510037553861</v>
          </cell>
          <cell r="P21">
            <v>9302.9274617712799</v>
          </cell>
          <cell r="Y21">
            <v>11163.512954125537</v>
          </cell>
        </row>
        <row r="22">
          <cell r="I22">
            <v>80434.25934403768</v>
          </cell>
          <cell r="J22">
            <v>-100583.27928090061</v>
          </cell>
          <cell r="K22">
            <v>10014.89818746791</v>
          </cell>
          <cell r="L22">
            <v>22930.903048495475</v>
          </cell>
          <cell r="M22">
            <v>1386.1821321864481</v>
          </cell>
          <cell r="N22">
            <v>3126.9413247948373</v>
          </cell>
          <cell r="O22">
            <v>1667.70203989058</v>
          </cell>
          <cell r="P22">
            <v>9637.832850395047</v>
          </cell>
          <cell r="Y22">
            <v>11565.399420474056</v>
          </cell>
        </row>
        <row r="23">
          <cell r="I23">
            <v>83329.892680423029</v>
          </cell>
          <cell r="J23">
            <v>-104204.27733501303</v>
          </cell>
          <cell r="K23">
            <v>10375.434522216756</v>
          </cell>
          <cell r="L23">
            <v>23756.415558241311</v>
          </cell>
          <cell r="M23">
            <v>1436.0846889451602</v>
          </cell>
          <cell r="N23">
            <v>3239.5112124874518</v>
          </cell>
          <cell r="O23">
            <v>1727.739313326641</v>
          </cell>
          <cell r="P23">
            <v>9984.7948330092695</v>
          </cell>
          <cell r="Y23">
            <v>11981.753799611122</v>
          </cell>
        </row>
        <row r="24">
          <cell r="I24">
            <v>86329.768816918266</v>
          </cell>
          <cell r="J24">
            <v>-107955.63131907351</v>
          </cell>
          <cell r="K24">
            <v>10748.950165016558</v>
          </cell>
          <cell r="L24">
            <v>24611.646518338002</v>
          </cell>
          <cell r="M24">
            <v>1487.7837377471863</v>
          </cell>
          <cell r="N24">
            <v>3356.133616137</v>
          </cell>
          <cell r="O24">
            <v>1789.9379286064002</v>
          </cell>
          <cell r="P24">
            <v>10344.247446997604</v>
          </cell>
          <cell r="Y24">
            <v>12413.096936397123</v>
          </cell>
        </row>
        <row r="25">
          <cell r="I25">
            <v>89437.640494327323</v>
          </cell>
          <cell r="J25">
            <v>-111842.03404656015</v>
          </cell>
          <cell r="K25">
            <v>11135.912370957154</v>
          </cell>
          <cell r="L25">
            <v>25497.66579299817</v>
          </cell>
          <cell r="M25">
            <v>1541.3439523060849</v>
          </cell>
          <cell r="N25">
            <v>3476.9544263179323</v>
          </cell>
          <cell r="O25">
            <v>1854.3756940362305</v>
          </cell>
          <cell r="P25">
            <v>10716.640355089517</v>
          </cell>
          <cell r="Y25">
            <v>12859.96842610742</v>
          </cell>
        </row>
        <row r="26">
          <cell r="I26">
            <v>92657.395552123111</v>
          </cell>
          <cell r="J26">
            <v>-115868.34727223631</v>
          </cell>
          <cell r="K26">
            <v>11536.805216311612</v>
          </cell>
          <cell r="L26">
            <v>26415.581761546102</v>
          </cell>
          <cell r="M26">
            <v>1596.8323345891038</v>
          </cell>
          <cell r="N26">
            <v>3602.1247856653777</v>
          </cell>
          <cell r="O26">
            <v>1921.1332190215348</v>
          </cell>
          <cell r="P26">
            <v>11102.43940787274</v>
          </cell>
          <cell r="Y26">
            <v>13322.927289447287</v>
          </cell>
        </row>
        <row r="27">
          <cell r="I27">
            <v>95993.061791999542</v>
          </cell>
          <cell r="J27">
            <v>-120039.60777403682</v>
          </cell>
          <cell r="K27">
            <v>11952.13020409883</v>
          </cell>
          <cell r="L27">
            <v>27366.542704961761</v>
          </cell>
          <cell r="M27">
            <v>1654.3182986343115</v>
          </cell>
          <cell r="N27">
            <v>3731.8012779493311</v>
          </cell>
          <cell r="O27">
            <v>1990.2940149063099</v>
          </cell>
          <cell r="P27">
            <v>11502.127226556158</v>
          </cell>
          <cell r="Y27">
            <v>13802.552671867388</v>
          </cell>
        </row>
        <row r="28">
          <cell r="I28">
            <v>99448.812016511525</v>
          </cell>
          <cell r="J28">
            <v>-124361.03365390215</v>
          </cell>
          <cell r="K28">
            <v>12382.406891446388</v>
          </cell>
          <cell r="L28">
            <v>28351.738242340387</v>
          </cell>
          <cell r="M28">
            <v>1713.8737573851467</v>
          </cell>
          <cell r="N28">
            <v>3866.1461239555074</v>
          </cell>
          <cell r="O28">
            <v>2061.944599442937</v>
          </cell>
          <cell r="P28">
            <v>11916.203806712179</v>
          </cell>
          <cell r="Y28">
            <v>14299.444568054616</v>
          </cell>
        </row>
        <row r="29">
          <cell r="I29">
            <v>103028.96924910594</v>
          </cell>
          <cell r="J29">
            <v>-128838.03086544263</v>
          </cell>
          <cell r="K29">
            <v>12828.173539538458</v>
          </cell>
          <cell r="L29">
            <v>29372.400819064642</v>
          </cell>
          <cell r="M29">
            <v>1775.5732126510122</v>
          </cell>
          <cell r="N29">
            <v>4005.3273844179057</v>
          </cell>
          <cell r="O29">
            <v>2136.174605022883</v>
          </cell>
          <cell r="P29">
            <v>12345.187143753819</v>
          </cell>
          <cell r="Y29">
            <v>14814.224572504581</v>
          </cell>
        </row>
        <row r="30">
          <cell r="I30">
            <v>106738.01214207376</v>
          </cell>
          <cell r="J30">
            <v>-133476.19997659855</v>
          </cell>
          <cell r="K30">
            <v>13289.987786961843</v>
          </cell>
          <cell r="L30">
            <v>30429.807248550966</v>
          </cell>
          <cell r="M30">
            <v>1839.4938483064486</v>
          </cell>
          <cell r="N30">
            <v>4149.51917025695</v>
          </cell>
          <cell r="O30">
            <v>2213.0768908037066</v>
          </cell>
          <cell r="P30">
            <v>12789.613880928955</v>
          </cell>
          <cell r="Y30">
            <v>15347.536657114746</v>
          </cell>
        </row>
        <row r="31">
          <cell r="I31">
            <v>110580.5805791884</v>
          </cell>
          <cell r="J31">
            <v>-138281.3431757561</v>
          </cell>
          <cell r="K31">
            <v>13768.427347292469</v>
          </cell>
          <cell r="L31">
            <v>31525.280309498801</v>
          </cell>
          <cell r="M31">
            <v>1905.7156268454808</v>
          </cell>
          <cell r="N31">
            <v>4298.9018603862005</v>
          </cell>
          <cell r="O31">
            <v>2292.7476588726399</v>
          </cell>
          <cell r="P31">
            <v>13250.039980642397</v>
          </cell>
          <cell r="Y31">
            <v>15900.047976770877</v>
          </cell>
        </row>
        <row r="32">
          <cell r="I32">
            <v>114561.48148003919</v>
          </cell>
          <cell r="J32">
            <v>-143259.47153008333</v>
          </cell>
          <cell r="K32">
            <v>14264.090731794999</v>
          </cell>
          <cell r="L32">
            <v>32660.19040064076</v>
          </cell>
          <cell r="M32">
            <v>1974.3213894119181</v>
          </cell>
          <cell r="N32">
            <v>4453.6623273601035</v>
          </cell>
          <cell r="O32">
            <v>2375.2865745920553</v>
          </cell>
          <cell r="P32">
            <v>13727.041419945524</v>
          </cell>
          <cell r="Y32">
            <v>16472.449703934632</v>
          </cell>
        </row>
        <row r="33">
          <cell r="I33">
            <v>118685.6948133206</v>
          </cell>
          <cell r="J33">
            <v>-148416.81250516634</v>
          </cell>
          <cell r="K33">
            <v>14777.597998139618</v>
          </cell>
          <cell r="L33">
            <v>33835.957255063826</v>
          </cell>
          <cell r="M33">
            <v>2045.3969594307471</v>
          </cell>
          <cell r="N33">
            <v>4613.9941711450674</v>
          </cell>
          <cell r="O33">
            <v>2460.796891277369</v>
          </cell>
          <cell r="P33">
            <v>14221.214911063564</v>
          </cell>
          <cell r="Y33">
            <v>17065.457893276274</v>
          </cell>
        </row>
        <row r="34">
          <cell r="I34">
            <v>122958.37982660014</v>
          </cell>
          <cell r="J34">
            <v>-153759.8177553523</v>
          </cell>
          <cell r="K34">
            <v>15309.591526072643</v>
          </cell>
          <cell r="L34">
            <v>35054.051716246126</v>
          </cell>
          <cell r="M34">
            <v>2119.0312499702541</v>
          </cell>
          <cell r="N34">
            <v>4780.0979613062891</v>
          </cell>
          <cell r="O34">
            <v>2549.3855793633543</v>
          </cell>
          <cell r="P34">
            <v>14733.178647861851</v>
          </cell>
          <cell r="Y34">
            <v>17679.814377434221</v>
          </cell>
        </row>
        <row r="35">
          <cell r="I35">
            <v>127384.88150035775</v>
          </cell>
          <cell r="J35">
            <v>-159295.17119454499</v>
          </cell>
          <cell r="K35">
            <v>15860.73682101126</v>
          </cell>
          <cell r="L35">
            <v>36315.997578030983</v>
          </cell>
          <cell r="M35">
            <v>2195.316374969183</v>
          </cell>
          <cell r="N35">
            <v>4952.1814879133162</v>
          </cell>
          <cell r="O35">
            <v>2641.1634602204354</v>
          </cell>
          <cell r="P35">
            <v>15263.573079184878</v>
          </cell>
          <cell r="Y35">
            <v>18316.287695021856</v>
          </cell>
        </row>
        <row r="36">
          <cell r="I36">
            <v>131970.73723437064</v>
          </cell>
          <cell r="J36">
            <v>-165029.79735754864</v>
          </cell>
          <cell r="K36">
            <v>16431.723346567665</v>
          </cell>
          <cell r="L36">
            <v>37623.373490840102</v>
          </cell>
          <cell r="M36">
            <v>2274.3477644680738</v>
          </cell>
          <cell r="N36">
            <v>5130.4600214781958</v>
          </cell>
          <cell r="O36">
            <v>2736.2453447883709</v>
          </cell>
          <cell r="P36">
            <v>15813.061710035534</v>
          </cell>
          <cell r="Y36">
            <v>18975.674052042643</v>
          </cell>
        </row>
        <row r="37">
          <cell r="I37">
            <v>136721.68377480799</v>
          </cell>
          <cell r="J37">
            <v>-170970.87006242038</v>
          </cell>
          <cell r="K37">
            <v>17023.265387044103</v>
          </cell>
          <cell r="L37">
            <v>38977.814936510345</v>
          </cell>
          <cell r="M37">
            <v>2356.2242839889245</v>
          </cell>
          <cell r="N37">
            <v>5315.1565822514103</v>
          </cell>
          <cell r="O37">
            <v>2834.7501772007522</v>
          </cell>
          <cell r="P37">
            <v>16382.331931596815</v>
          </cell>
          <cell r="Y37">
            <v>19658.798317916178</v>
          </cell>
        </row>
        <row r="39">
          <cell r="E39">
            <v>3840000</v>
          </cell>
        </row>
      </sheetData>
      <sheetData sheetId="2" refreshError="1">
        <row r="3">
          <cell r="B3" t="str">
            <v>Price cost for reclaimation and reuse - Operation of 30 years (128 000 m³/year)</v>
          </cell>
        </row>
        <row r="6">
          <cell r="E6" t="str">
            <v>MIP</v>
          </cell>
          <cell r="F6" t="str">
            <v>UV</v>
          </cell>
          <cell r="G6" t="str">
            <v>Storage</v>
          </cell>
          <cell r="H6" t="str">
            <v>Distribution</v>
          </cell>
        </row>
        <row r="7">
          <cell r="B7" t="str">
            <v>Without any subsidises</v>
          </cell>
          <cell r="E7">
            <v>1.735014112804143</v>
          </cell>
          <cell r="F7">
            <v>4.736644004010733E-2</v>
          </cell>
          <cell r="G7">
            <v>0.14710467793886564</v>
          </cell>
          <cell r="H7">
            <v>0.4706784356006623</v>
          </cell>
        </row>
        <row r="9">
          <cell r="E9">
            <v>0.72287325114716583</v>
          </cell>
          <cell r="F9">
            <v>1.9734670890786496E-2</v>
          </cell>
          <cell r="G9">
            <v>6.128943621603182E-2</v>
          </cell>
          <cell r="H9">
            <v>0.19610264174601602</v>
          </cell>
        </row>
        <row r="39">
          <cell r="B39" t="str">
            <v>COUT DE REVIENT SANS SUBVENTION</v>
          </cell>
        </row>
        <row r="44">
          <cell r="B44">
            <v>1</v>
          </cell>
          <cell r="AA44">
            <v>2.52423980312527</v>
          </cell>
        </row>
        <row r="45">
          <cell r="B45">
            <v>2</v>
          </cell>
          <cell r="AA45">
            <v>2.5255956030515199</v>
          </cell>
        </row>
        <row r="46">
          <cell r="B46">
            <v>3</v>
          </cell>
          <cell r="AA46">
            <v>2.5269839421759999</v>
          </cell>
        </row>
        <row r="47">
          <cell r="B47">
            <v>4</v>
          </cell>
          <cell r="AA47">
            <v>2.5284056990570623</v>
          </cell>
        </row>
        <row r="48">
          <cell r="B48">
            <v>5</v>
          </cell>
          <cell r="AA48">
            <v>2.5298617775555394</v>
          </cell>
          <cell r="AB48">
            <v>2.5298617775555394</v>
          </cell>
          <cell r="AC48" t="str">
            <v>2,53 €/m³</v>
          </cell>
        </row>
        <row r="49">
          <cell r="B49">
            <v>6</v>
          </cell>
          <cell r="AA49">
            <v>2.5313531075938194</v>
          </cell>
        </row>
        <row r="50">
          <cell r="B50">
            <v>7</v>
          </cell>
          <cell r="AA50">
            <v>2.5328806459383415</v>
          </cell>
        </row>
        <row r="51">
          <cell r="B51">
            <v>8</v>
          </cell>
          <cell r="AA51">
            <v>2.5344453770062572</v>
          </cell>
        </row>
        <row r="52">
          <cell r="B52">
            <v>9</v>
          </cell>
          <cell r="AA52">
            <v>2.5360483136970053</v>
          </cell>
        </row>
        <row r="53">
          <cell r="B53">
            <v>10</v>
          </cell>
          <cell r="AA53">
            <v>2.5376904982496065</v>
          </cell>
          <cell r="AB53">
            <v>2.5376904982496065</v>
          </cell>
          <cell r="AC53" t="str">
            <v>2,54 €/m³</v>
          </cell>
        </row>
        <row r="54">
          <cell r="B54">
            <v>11</v>
          </cell>
          <cell r="AA54">
            <v>2.5393730031264625</v>
          </cell>
        </row>
        <row r="55">
          <cell r="B55">
            <v>12</v>
          </cell>
          <cell r="AA55">
            <v>2.5410969319245273</v>
          </cell>
        </row>
        <row r="56">
          <cell r="B56">
            <v>13</v>
          </cell>
          <cell r="AA56">
            <v>2.5428634203146836</v>
          </cell>
        </row>
        <row r="57">
          <cell r="B57">
            <v>14</v>
          </cell>
          <cell r="AA57">
            <v>2.5446736370102356</v>
          </cell>
        </row>
        <row r="58">
          <cell r="B58">
            <v>15</v>
          </cell>
          <cell r="AA58">
            <v>2.5465287847654396</v>
          </cell>
          <cell r="AB58">
            <v>2.5465287847654396</v>
          </cell>
          <cell r="AC58" t="str">
            <v>2,55 €/m³</v>
          </cell>
        </row>
        <row r="59">
          <cell r="B59">
            <v>16</v>
          </cell>
          <cell r="AA59">
            <v>2.5484301014050033</v>
          </cell>
        </row>
        <row r="60">
          <cell r="B60">
            <v>17</v>
          </cell>
          <cell r="AA60">
            <v>2.550378860885556</v>
          </cell>
        </row>
        <row r="61">
          <cell r="B61">
            <v>18</v>
          </cell>
          <cell r="AA61">
            <v>2.552376374390084</v>
          </cell>
        </row>
        <row r="62">
          <cell r="B62">
            <v>19</v>
          </cell>
          <cell r="AA62">
            <v>2.5544239914563884</v>
          </cell>
        </row>
        <row r="63">
          <cell r="B63">
            <v>20</v>
          </cell>
          <cell r="AA63">
            <v>2.5565231011406317</v>
          </cell>
          <cell r="AB63">
            <v>2.5565231011406317</v>
          </cell>
          <cell r="AC63" t="str">
            <v>2,56 €/m³</v>
          </cell>
        </row>
        <row r="64">
          <cell r="B64">
            <v>21</v>
          </cell>
          <cell r="AA64">
            <v>2.5319965059817351</v>
          </cell>
        </row>
        <row r="65">
          <cell r="B65">
            <v>22</v>
          </cell>
          <cell r="AA65">
            <v>2.509949634693232</v>
          </cell>
        </row>
        <row r="66">
          <cell r="B66">
            <v>23</v>
          </cell>
          <cell r="AA66">
            <v>2.49006765487698</v>
          </cell>
        </row>
        <row r="67">
          <cell r="B67">
            <v>24</v>
          </cell>
          <cell r="AA67">
            <v>2.4720885032408746</v>
          </cell>
        </row>
        <row r="68">
          <cell r="B68">
            <v>25</v>
          </cell>
          <cell r="AA68">
            <v>2.455792342043333</v>
          </cell>
          <cell r="AB68">
            <v>2.455792342043333</v>
          </cell>
          <cell r="AC68" t="str">
            <v>2,46 €/m³</v>
          </cell>
        </row>
        <row r="69">
          <cell r="B69">
            <v>26</v>
          </cell>
          <cell r="AA69">
            <v>2.4409934490213265</v>
          </cell>
        </row>
        <row r="70">
          <cell r="B70">
            <v>27</v>
          </cell>
          <cell r="AA70">
            <v>2.4275339099111304</v>
          </cell>
        </row>
        <row r="71">
          <cell r="B71">
            <v>28</v>
          </cell>
          <cell r="AA71">
            <v>2.4152786629259335</v>
          </cell>
        </row>
        <row r="72">
          <cell r="B72">
            <v>29</v>
          </cell>
          <cell r="AA72">
            <v>2.4041115688681862</v>
          </cell>
        </row>
        <row r="73">
          <cell r="B73">
            <v>30</v>
          </cell>
          <cell r="AA73">
            <v>2.400163666383778</v>
          </cell>
          <cell r="AB73">
            <v>2.400163666383778</v>
          </cell>
          <cell r="AC73" t="str">
            <v>2,40 €/m³</v>
          </cell>
        </row>
      </sheetData>
      <sheetData sheetId="3" refreshError="1"/>
      <sheetData sheetId="4" refreshError="1"/>
      <sheetData sheetId="5" refreshError="1"/>
      <sheetData sheetId="6" refreshError="1">
        <row r="13">
          <cell r="L13">
            <v>24000</v>
          </cell>
        </row>
        <row r="14">
          <cell r="L14">
            <v>750000</v>
          </cell>
        </row>
        <row r="27">
          <cell r="L27">
            <v>22500</v>
          </cell>
        </row>
      </sheetData>
      <sheetData sheetId="7" refreshError="1"/>
      <sheetData sheetId="8" refreshError="1">
        <row r="3">
          <cell r="B3" t="str">
            <v>Price cost for individual irrigation and fertilisation - Operation of 30 years (128 000 m³/year)</v>
          </cell>
        </row>
        <row r="6">
          <cell r="E6" t="str">
            <v>Distribution</v>
          </cell>
        </row>
        <row r="7">
          <cell r="B7" t="str">
            <v>Without any subsidises</v>
          </cell>
          <cell r="E7">
            <v>0.50692096893434613</v>
          </cell>
        </row>
        <row r="9">
          <cell r="E9">
            <v>1</v>
          </cell>
        </row>
        <row r="39">
          <cell r="B39" t="str">
            <v>COUT DE REVIENT SANS SUBVENTION</v>
          </cell>
        </row>
        <row r="44">
          <cell r="B44">
            <v>1</v>
          </cell>
          <cell r="S44">
            <v>0.58305580911591615</v>
          </cell>
        </row>
        <row r="45">
          <cell r="B45">
            <v>2</v>
          </cell>
          <cell r="S45">
            <v>0.58404706686591623</v>
          </cell>
        </row>
        <row r="46">
          <cell r="B46">
            <v>3</v>
          </cell>
          <cell r="S46">
            <v>0.58506211480191617</v>
          </cell>
        </row>
        <row r="47">
          <cell r="B47">
            <v>4</v>
          </cell>
          <cell r="S47">
            <v>0.58610159525893823</v>
          </cell>
        </row>
        <row r="48">
          <cell r="B48">
            <v>5</v>
          </cell>
          <cell r="S48">
            <v>0.58716616907125285</v>
          </cell>
          <cell r="T48">
            <v>0.58716616907125285</v>
          </cell>
          <cell r="U48" t="str">
            <v>0,59 €/m³</v>
          </cell>
        </row>
        <row r="49">
          <cell r="B49">
            <v>6</v>
          </cell>
          <cell r="S49">
            <v>0.58825651612735674</v>
          </cell>
        </row>
        <row r="50">
          <cell r="B50">
            <v>7</v>
          </cell>
          <cell r="S50">
            <v>0.58937333594207553</v>
          </cell>
        </row>
        <row r="51">
          <cell r="B51">
            <v>8</v>
          </cell>
          <cell r="S51">
            <v>0.59051734824632951</v>
          </cell>
        </row>
        <row r="52">
          <cell r="B52">
            <v>9</v>
          </cell>
          <cell r="S52">
            <v>0.59168929359512357</v>
          </cell>
        </row>
        <row r="53">
          <cell r="B53">
            <v>10</v>
          </cell>
          <cell r="S53">
            <v>0.5928899339943291</v>
          </cell>
          <cell r="T53">
            <v>0.5928899339943291</v>
          </cell>
          <cell r="U53" t="str">
            <v>0,59 €/m³</v>
          </cell>
        </row>
        <row r="54">
          <cell r="B54">
            <v>11</v>
          </cell>
          <cell r="S54">
            <v>0.59412005354685793</v>
          </cell>
        </row>
        <row r="55">
          <cell r="B55">
            <v>12</v>
          </cell>
          <cell r="S55">
            <v>0.59538045911883375</v>
          </cell>
        </row>
        <row r="56">
          <cell r="B56">
            <v>13</v>
          </cell>
          <cell r="S56">
            <v>0.59667198102639862</v>
          </cell>
        </row>
        <row r="57">
          <cell r="B57">
            <v>14</v>
          </cell>
          <cell r="S57">
            <v>0.59799547374380035</v>
          </cell>
        </row>
        <row r="58">
          <cell r="B58">
            <v>15</v>
          </cell>
          <cell r="S58">
            <v>0.59935181663343828</v>
          </cell>
          <cell r="T58">
            <v>0.59935181663343828</v>
          </cell>
          <cell r="U58" t="str">
            <v>0,60 €/m³</v>
          </cell>
        </row>
        <row r="59">
          <cell r="B59">
            <v>16</v>
          </cell>
          <cell r="S59">
            <v>0.60074191469855953</v>
          </cell>
        </row>
        <row r="60">
          <cell r="B60">
            <v>17</v>
          </cell>
          <cell r="S60">
            <v>0.60216669935932188</v>
          </cell>
        </row>
        <row r="61">
          <cell r="B61">
            <v>18</v>
          </cell>
          <cell r="S61">
            <v>0.60362712925296391</v>
          </cell>
        </row>
        <row r="62">
          <cell r="B62">
            <v>19</v>
          </cell>
          <cell r="S62">
            <v>0.60512419105884596</v>
          </cell>
        </row>
        <row r="63">
          <cell r="B63">
            <v>20</v>
          </cell>
          <cell r="S63">
            <v>0.60665890034914771</v>
          </cell>
          <cell r="T63">
            <v>0.60665890034914771</v>
          </cell>
          <cell r="U63" t="str">
            <v>0,61 €/m³</v>
          </cell>
        </row>
        <row r="64">
          <cell r="B64">
            <v>21</v>
          </cell>
          <cell r="S64">
            <v>0.59146065084147059</v>
          </cell>
        </row>
        <row r="65">
          <cell r="B65">
            <v>22</v>
          </cell>
          <cell r="S65">
            <v>0.57782686577925335</v>
          </cell>
        </row>
        <row r="66">
          <cell r="B66">
            <v>23</v>
          </cell>
          <cell r="S66">
            <v>0.56555977944683844</v>
          </cell>
        </row>
        <row r="67">
          <cell r="B67">
            <v>24</v>
          </cell>
          <cell r="S67">
            <v>0.55449480425399189</v>
          </cell>
        </row>
        <row r="68">
          <cell r="B68">
            <v>25</v>
          </cell>
          <cell r="S68">
            <v>0.54449390261631181</v>
          </cell>
          <cell r="T68">
            <v>0.54449390261631181</v>
          </cell>
          <cell r="U68" t="str">
            <v>0,54 €/m³</v>
          </cell>
        </row>
        <row r="69">
          <cell r="B69">
            <v>26</v>
          </cell>
          <cell r="S69">
            <v>0.53544048866150062</v>
          </cell>
        </row>
        <row r="70">
          <cell r="B70">
            <v>27</v>
          </cell>
          <cell r="S70">
            <v>0.52723546314898961</v>
          </cell>
        </row>
        <row r="71">
          <cell r="B71">
            <v>28</v>
          </cell>
          <cell r="S71">
            <v>0.51979409830857415</v>
          </cell>
        </row>
        <row r="72">
          <cell r="B72">
            <v>29</v>
          </cell>
          <cell r="S72">
            <v>0.51304356745419522</v>
          </cell>
        </row>
        <row r="73">
          <cell r="B73">
            <v>30</v>
          </cell>
          <cell r="S73">
            <v>0.50692096893434613</v>
          </cell>
          <cell r="T73">
            <v>0.50692096893434613</v>
          </cell>
          <cell r="U73" t="str">
            <v>0,51 €/m³</v>
          </cell>
        </row>
      </sheetData>
      <sheetData sheetId="9" refreshError="1"/>
      <sheetData sheetId="10" refreshError="1">
        <row r="3">
          <cell r="B3" t="str">
            <v>Price cost for treatment - Operation of 30 years (290 000 m³/year)</v>
          </cell>
        </row>
        <row r="6">
          <cell r="E6" t="str">
            <v>UASB</v>
          </cell>
          <cell r="F6" t="str">
            <v>RBF</v>
          </cell>
        </row>
        <row r="7">
          <cell r="B7" t="str">
            <v>Without any subsidises</v>
          </cell>
          <cell r="E7">
            <v>0.12619929129569962</v>
          </cell>
          <cell r="F7">
            <v>0.489076613254535</v>
          </cell>
        </row>
        <row r="9">
          <cell r="E9">
            <v>0.20511008209877979</v>
          </cell>
          <cell r="F9">
            <v>0.79488991790122021</v>
          </cell>
        </row>
        <row r="39">
          <cell r="B39" t="str">
            <v>COUT DE REVIENT SANS SUBVENTION</v>
          </cell>
        </row>
        <row r="44">
          <cell r="B44">
            <v>1</v>
          </cell>
          <cell r="S44">
            <v>0.80972056478276044</v>
          </cell>
        </row>
        <row r="45">
          <cell r="B45">
            <v>2</v>
          </cell>
          <cell r="S45">
            <v>0.81020466879186392</v>
          </cell>
        </row>
        <row r="46">
          <cell r="B46">
            <v>3</v>
          </cell>
          <cell r="S46">
            <v>0.81070039129718574</v>
          </cell>
        </row>
        <row r="47">
          <cell r="B47">
            <v>4</v>
          </cell>
          <cell r="S47">
            <v>0.81120804599812402</v>
          </cell>
        </row>
        <row r="48">
          <cell r="B48">
            <v>5</v>
          </cell>
          <cell r="S48">
            <v>0.81172795562861932</v>
          </cell>
          <cell r="T48">
            <v>0.81172795562861932</v>
          </cell>
          <cell r="U48" t="str">
            <v>0,81 €/m³</v>
          </cell>
        </row>
        <row r="49">
          <cell r="B49">
            <v>6</v>
          </cell>
          <cell r="S49">
            <v>0.8122604522281911</v>
          </cell>
        </row>
        <row r="50">
          <cell r="B50">
            <v>7</v>
          </cell>
          <cell r="S50">
            <v>0.81280587742133736</v>
          </cell>
        </row>
        <row r="51">
          <cell r="B51">
            <v>8</v>
          </cell>
          <cell r="S51">
            <v>0.81336458270556156</v>
          </cell>
        </row>
        <row r="52">
          <cell r="B52">
            <v>9</v>
          </cell>
          <cell r="S52">
            <v>0.81393692974829712</v>
          </cell>
        </row>
        <row r="53">
          <cell r="B53">
            <v>10</v>
          </cell>
          <cell r="S53">
            <v>0.8145232906930131</v>
          </cell>
          <cell r="T53">
            <v>0.8145232906930131</v>
          </cell>
          <cell r="U53" t="str">
            <v>0,81 €/m³</v>
          </cell>
        </row>
        <row r="54">
          <cell r="B54">
            <v>11</v>
          </cell>
          <cell r="S54">
            <v>0.81512404847478637</v>
          </cell>
        </row>
        <row r="55">
          <cell r="B55">
            <v>12</v>
          </cell>
          <cell r="S55">
            <v>0.81573959714564404</v>
          </cell>
        </row>
        <row r="56">
          <cell r="B56">
            <v>13</v>
          </cell>
          <cell r="S56">
            <v>0.81637034220997984</v>
          </cell>
        </row>
        <row r="57">
          <cell r="B57">
            <v>14</v>
          </cell>
          <cell r="S57">
            <v>0.81701670097036616</v>
          </cell>
        </row>
        <row r="58">
          <cell r="B58">
            <v>15</v>
          </cell>
          <cell r="S58">
            <v>0.81767910288408907</v>
          </cell>
          <cell r="T58">
            <v>0.81767910288408907</v>
          </cell>
          <cell r="U58" t="str">
            <v>0,82 €/m³</v>
          </cell>
        </row>
        <row r="59">
          <cell r="B59">
            <v>16</v>
          </cell>
          <cell r="S59">
            <v>0.81835798993074493</v>
          </cell>
        </row>
        <row r="60">
          <cell r="B60">
            <v>17</v>
          </cell>
          <cell r="S60">
            <v>0.81905381699124868</v>
          </cell>
        </row>
        <row r="61">
          <cell r="B61">
            <v>18</v>
          </cell>
          <cell r="S61">
            <v>0.81976705223861668</v>
          </cell>
        </row>
        <row r="62">
          <cell r="B62">
            <v>19</v>
          </cell>
          <cell r="S62">
            <v>0.82049817754089371</v>
          </cell>
        </row>
        <row r="63">
          <cell r="B63">
            <v>20</v>
          </cell>
          <cell r="S63">
            <v>0.82124768887661181</v>
          </cell>
          <cell r="T63">
            <v>0.82124768887661181</v>
          </cell>
          <cell r="U63" t="str">
            <v>0,82 €/m³</v>
          </cell>
        </row>
        <row r="64">
          <cell r="B64">
            <v>21</v>
          </cell>
          <cell r="S64">
            <v>0.78884376337943263</v>
          </cell>
        </row>
        <row r="65">
          <cell r="B65">
            <v>22</v>
          </cell>
          <cell r="S65">
            <v>0.75947492660235283</v>
          </cell>
        </row>
        <row r="66">
          <cell r="B66">
            <v>23</v>
          </cell>
          <cell r="S66">
            <v>0.73274837165277351</v>
          </cell>
        </row>
        <row r="67">
          <cell r="B67">
            <v>24</v>
          </cell>
          <cell r="S67">
            <v>0.70833686551497443</v>
          </cell>
        </row>
        <row r="68">
          <cell r="B68">
            <v>25</v>
          </cell>
          <cell r="S68">
            <v>0.68596563794022269</v>
          </cell>
          <cell r="T68">
            <v>0.68596563794022269</v>
          </cell>
          <cell r="U68" t="str">
            <v>0,69 €/m³</v>
          </cell>
        </row>
        <row r="69">
          <cell r="B69">
            <v>26</v>
          </cell>
          <cell r="S69">
            <v>0.66540229610450552</v>
          </cell>
        </row>
        <row r="70">
          <cell r="B70">
            <v>27</v>
          </cell>
          <cell r="S70">
            <v>0.64644898058001765</v>
          </cell>
        </row>
        <row r="71">
          <cell r="B71">
            <v>28</v>
          </cell>
          <cell r="S71">
            <v>0.62893620229635383</v>
          </cell>
        </row>
        <row r="72">
          <cell r="B72">
            <v>29</v>
          </cell>
          <cell r="S72">
            <v>0.61271795473966983</v>
          </cell>
        </row>
        <row r="73">
          <cell r="B73">
            <v>30</v>
          </cell>
          <cell r="S73">
            <v>0.61527590455023462</v>
          </cell>
          <cell r="T73">
            <v>0.61527590455023462</v>
          </cell>
          <cell r="U73" t="str">
            <v>0,62 €/m³</v>
          </cell>
        </row>
      </sheetData>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use_FinLCC_UASB-RBF"/>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use_FinLCC_ReclaReus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euse_FinLCC_Irrig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2">
          <cell r="A2" t="str">
            <v>Acidification</v>
          </cell>
        </row>
        <row r="3">
          <cell r="A3" t="str">
            <v>Climate change</v>
          </cell>
        </row>
        <row r="4">
          <cell r="A4" t="str">
            <v>Ecotoxicity, freshwater</v>
          </cell>
        </row>
        <row r="5">
          <cell r="A5" t="str">
            <v>Eutrophication, freshwater</v>
          </cell>
        </row>
        <row r="6">
          <cell r="A6" t="str">
            <v>Eutrophication, marine</v>
          </cell>
        </row>
        <row r="7">
          <cell r="A7" t="str">
            <v>Eutrophication, terrestrial</v>
          </cell>
        </row>
        <row r="8">
          <cell r="A8" t="str">
            <v>Human toxicity, cancer</v>
          </cell>
        </row>
        <row r="9">
          <cell r="A9" t="str">
            <v>Human toxicity, non-cancer</v>
          </cell>
        </row>
        <row r="10">
          <cell r="A10" t="str">
            <v>Ionising radiation</v>
          </cell>
        </row>
        <row r="11">
          <cell r="A11" t="str">
            <v>Land use</v>
          </cell>
        </row>
        <row r="12">
          <cell r="A12" t="str">
            <v>Ozone depletion</v>
          </cell>
        </row>
        <row r="13">
          <cell r="A13" t="str">
            <v>Particulate matter</v>
          </cell>
        </row>
        <row r="14">
          <cell r="A14" t="str">
            <v>Photochemical ozone formation</v>
          </cell>
        </row>
        <row r="15">
          <cell r="A15" t="str">
            <v>Resource use, fossils</v>
          </cell>
        </row>
        <row r="16">
          <cell r="A16" t="str">
            <v>Resource use, minerals and metals</v>
          </cell>
        </row>
        <row r="17">
          <cell r="A17" t="str">
            <v>Water use</v>
          </cell>
        </row>
      </sheetData>
    </sheetDataSet>
  </externalBook>
</externalLink>
</file>

<file path=xl/persons/person.xml><?xml version="1.0" encoding="utf-8"?>
<personList xmlns="http://schemas.microsoft.com/office/spreadsheetml/2018/threadedcomments" xmlns:x="http://schemas.openxmlformats.org/spreadsheetml/2006/main">
  <person displayName="Valentina Guerrieri" id="{451C2E90-3FCA-4C30-9FCE-5938FCD7F347}" userId="Valentina Guerrieri" providerId="None"/>
  <person displayName="Valentina Guerrieri - valentina.guerrieri@studio.unibo.it" id="{52C825B6-1AB5-472F-8A5C-09D63D839088}" userId="Valentina Guerrieri - valentina.guerrieri@studio.unibo.it" providerId="None"/>
</personList>
</file>

<file path=xl/richData/_rels/rdRichValueWebImage.xml.rels><?xml version="1.0" encoding="UTF-8" standalone="yes"?>
<Relationships xmlns="http://schemas.openxmlformats.org/package/2006/relationships"><Relationship Id="rId13" Type="http://schemas.openxmlformats.org/officeDocument/2006/relationships/hyperlink" Target="https://www.bing.com/th?id=OSK.IJoB2IAflCzjheZJfaz5mfzEWw5jRcoWEgDQz1yU2Yk&amp;qlt=95" TargetMode="External"/><Relationship Id="rId18" Type="http://schemas.openxmlformats.org/officeDocument/2006/relationships/hyperlink" Target="https://www.bing.com/images/search?form=xlimg&amp;q=Greece" TargetMode="External"/><Relationship Id="rId26" Type="http://schemas.openxmlformats.org/officeDocument/2006/relationships/hyperlink" Target="https://www.bing.com/images/search?form=xlimg&amp;q=Libya" TargetMode="External"/><Relationship Id="rId39" Type="http://schemas.openxmlformats.org/officeDocument/2006/relationships/hyperlink" Target="https://www.bing.com/th?id=OSK.2e5ae37a1125e977eb781fe1567bce8a&amp;qlt=95" TargetMode="External"/><Relationship Id="rId21" Type="http://schemas.openxmlformats.org/officeDocument/2006/relationships/hyperlink" Target="https://www.bing.com/th?id=OSK.YyStd3n6FeCyDWZVKn54i8IqezKRsFpq7XThd1PUiDk&amp;qlt=95" TargetMode="External"/><Relationship Id="rId34" Type="http://schemas.openxmlformats.org/officeDocument/2006/relationships/hyperlink" Target="https://www.bing.com/images/search?form=xlimg&amp;q=Morocco" TargetMode="External"/><Relationship Id="rId42" Type="http://schemas.openxmlformats.org/officeDocument/2006/relationships/hyperlink" Target="https://www.bing.com/images/search?form=xlimg&amp;q=Syria" TargetMode="External"/><Relationship Id="rId7" Type="http://schemas.openxmlformats.org/officeDocument/2006/relationships/hyperlink" Target="https://www.bing.com/th?id=OSK.909e75f79c08029f7d3305071d2c5b94&amp;qlt=95" TargetMode="External"/><Relationship Id="rId2" Type="http://schemas.openxmlformats.org/officeDocument/2006/relationships/hyperlink" Target="https://www.bing.com/images/search?form=xlimg&amp;q=Albania" TargetMode="External"/><Relationship Id="rId16" Type="http://schemas.openxmlformats.org/officeDocument/2006/relationships/hyperlink" Target="https://www.bing.com/images/search?form=xlimg&amp;q=Gibraltar" TargetMode="External"/><Relationship Id="rId29" Type="http://schemas.openxmlformats.org/officeDocument/2006/relationships/hyperlink" Target="https://www.bing.com/th?id=OSK.D4xwjISfUSLao3ePvCDt13L2x2dVn_PmQI8AEriEfWM&amp;qlt=95" TargetMode="External"/><Relationship Id="rId1" Type="http://schemas.openxmlformats.org/officeDocument/2006/relationships/hyperlink" Target="https://www.bing.com/th?id=OSK.e267b077bd06f31fb5785a31d5c544f7&amp;qlt=95" TargetMode="External"/><Relationship Id="rId6" Type="http://schemas.openxmlformats.org/officeDocument/2006/relationships/hyperlink" Target="https://www.bing.com/images/search?form=xlimg&amp;q=Bosnia%20and%20Herzegovina" TargetMode="External"/><Relationship Id="rId11" Type="http://schemas.openxmlformats.org/officeDocument/2006/relationships/hyperlink" Target="https://www.bing.com/th?id=OSK.cd87a340e69c67ee5da36d9903955518&amp;qlt=95" TargetMode="External"/><Relationship Id="rId24" Type="http://schemas.openxmlformats.org/officeDocument/2006/relationships/hyperlink" Target="https://www.bing.com/images/search?form=xlimg&amp;q=Lebanon" TargetMode="External"/><Relationship Id="rId32" Type="http://schemas.openxmlformats.org/officeDocument/2006/relationships/hyperlink" Target="https://www.bing.com/images/search?form=xlimg&amp;q=Montenegro" TargetMode="External"/><Relationship Id="rId37" Type="http://schemas.openxmlformats.org/officeDocument/2006/relationships/hyperlink" Target="https://www.bing.com/th?id=OSK.d603cc664aacae23506060091bb6f52d&amp;qlt=95" TargetMode="External"/><Relationship Id="rId40" Type="http://schemas.openxmlformats.org/officeDocument/2006/relationships/hyperlink" Target="https://www.bing.com/images/search?form=xlimg&amp;q=Spain" TargetMode="External"/><Relationship Id="rId45" Type="http://schemas.openxmlformats.org/officeDocument/2006/relationships/hyperlink" Target="https://www.bing.com/th?id=OSK.fda9e53ebc3cfcb82bd9b5ab4f11c264&amp;qlt=95" TargetMode="External"/><Relationship Id="rId5" Type="http://schemas.openxmlformats.org/officeDocument/2006/relationships/hyperlink" Target="https://www.bing.com/th?id=OSK.85cffc16527c4e9b6091e4e3c80fc5e4&amp;qlt=95" TargetMode="External"/><Relationship Id="rId15" Type="http://schemas.openxmlformats.org/officeDocument/2006/relationships/hyperlink" Target="https://www.bing.com/th?id=OSK.81ee8987adf23920c44f7846ffe1c118&amp;qlt=95" TargetMode="External"/><Relationship Id="rId23" Type="http://schemas.openxmlformats.org/officeDocument/2006/relationships/hyperlink" Target="https://www.bing.com/th?id=OSK.8e74392a9746afb6ff3d2cf8a35ab651&amp;qlt=95" TargetMode="External"/><Relationship Id="rId28" Type="http://schemas.openxmlformats.org/officeDocument/2006/relationships/hyperlink" Target="https://www.bing.com/images/search?form=xlimg&amp;q=Malta" TargetMode="External"/><Relationship Id="rId36" Type="http://schemas.openxmlformats.org/officeDocument/2006/relationships/hyperlink" Target="https://www.bing.com/images/search?form=xlimg&amp;q=Palestinian%20National%20Authority" TargetMode="External"/><Relationship Id="rId10" Type="http://schemas.openxmlformats.org/officeDocument/2006/relationships/hyperlink" Target="https://www.bing.com/images/search?form=xlimg&amp;q=Cyprus" TargetMode="External"/><Relationship Id="rId19" Type="http://schemas.openxmlformats.org/officeDocument/2006/relationships/hyperlink" Target="https://www.bing.com/th?id=OSK.2645723e4c6975ff4c578c04da130f2e&amp;qlt=95" TargetMode="External"/><Relationship Id="rId31" Type="http://schemas.openxmlformats.org/officeDocument/2006/relationships/hyperlink" Target="https://www.bing.com/th?id=OSK.55e18930b9f4f69172095b7b3b0671f6&amp;qlt=95" TargetMode="External"/><Relationship Id="rId44" Type="http://schemas.openxmlformats.org/officeDocument/2006/relationships/hyperlink" Target="https://www.bing.com/images/search?form=xlimg&amp;q=Tunisia" TargetMode="External"/><Relationship Id="rId4" Type="http://schemas.openxmlformats.org/officeDocument/2006/relationships/hyperlink" Target="https://www.bing.com/images/search?form=xlimg&amp;q=Algeria" TargetMode="External"/><Relationship Id="rId9" Type="http://schemas.openxmlformats.org/officeDocument/2006/relationships/hyperlink" Target="https://www.bing.com/th?id=OSK.ff642da83e8aefdf0fa9088654eaef86&amp;qlt=95" TargetMode="External"/><Relationship Id="rId14" Type="http://schemas.openxmlformats.org/officeDocument/2006/relationships/hyperlink" Target="https://www.bing.com/images/search?form=xlimg&amp;q=France" TargetMode="External"/><Relationship Id="rId22" Type="http://schemas.openxmlformats.org/officeDocument/2006/relationships/hyperlink" Target="https://www.bing.com/images/search?form=xlimg&amp;q=Italy" TargetMode="External"/><Relationship Id="rId27" Type="http://schemas.openxmlformats.org/officeDocument/2006/relationships/hyperlink" Target="https://www.bing.com/th?id=OSK.99c028b1beae003a52d1a43ed4d4c845&amp;qlt=95" TargetMode="External"/><Relationship Id="rId30" Type="http://schemas.openxmlformats.org/officeDocument/2006/relationships/hyperlink" Target="https://www.bing.com/images/search?form=xlimg&amp;q=Monaco" TargetMode="External"/><Relationship Id="rId35" Type="http://schemas.openxmlformats.org/officeDocument/2006/relationships/hyperlink" Target="https://www.bing.com/th?id=OSK.768a1d8c4451f85e3553c1ac22c1854c&amp;qlt=95" TargetMode="External"/><Relationship Id="rId43" Type="http://schemas.openxmlformats.org/officeDocument/2006/relationships/hyperlink" Target="https://www.bing.com/th?id=OSK.71ec6e50c09b28d4a6ef80ad01877fb0&amp;qlt=95" TargetMode="External"/><Relationship Id="rId8" Type="http://schemas.openxmlformats.org/officeDocument/2006/relationships/hyperlink" Target="https://www.bing.com/images/search?form=xlimg&amp;q=Croatia" TargetMode="External"/><Relationship Id="rId3" Type="http://schemas.openxmlformats.org/officeDocument/2006/relationships/hyperlink" Target="https://www.bing.com/th?id=OSK.316f58a16f5641ca1e7305b18ee3e197&amp;qlt=95" TargetMode="External"/><Relationship Id="rId12" Type="http://schemas.openxmlformats.org/officeDocument/2006/relationships/hyperlink" Target="https://www.bing.com/images/search?form=xlimg&amp;q=Egypt" TargetMode="External"/><Relationship Id="rId17" Type="http://schemas.openxmlformats.org/officeDocument/2006/relationships/hyperlink" Target="https://www.bing.com/th?id=OSK.37868521ec6f61afb97b5ab07c93e834&amp;qlt=95" TargetMode="External"/><Relationship Id="rId25" Type="http://schemas.openxmlformats.org/officeDocument/2006/relationships/hyperlink" Target="https://www.bing.com/th?id=OSK.fb4d51ce3b3c5a41b4f906a3da0010c7&amp;qlt=95" TargetMode="External"/><Relationship Id="rId33" Type="http://schemas.openxmlformats.org/officeDocument/2006/relationships/hyperlink" Target="https://www.bing.com/th?id=OSK.6d045ff0fc33a1c5f73e9eee1111d044&amp;qlt=95" TargetMode="External"/><Relationship Id="rId38" Type="http://schemas.openxmlformats.org/officeDocument/2006/relationships/hyperlink" Target="https://www.bing.com/images/search?form=xlimg&amp;q=Slovenia" TargetMode="External"/><Relationship Id="rId46" Type="http://schemas.openxmlformats.org/officeDocument/2006/relationships/hyperlink" Target="https://www.bing.com/images/search?form=xlimg&amp;q=Turkey" TargetMode="External"/><Relationship Id="rId20" Type="http://schemas.openxmlformats.org/officeDocument/2006/relationships/hyperlink" Target="https://www.bing.com/images/search?form=xlimg&amp;q=Israel" TargetMode="External"/><Relationship Id="rId41" Type="http://schemas.openxmlformats.org/officeDocument/2006/relationships/hyperlink" Target="https://www.bing.com/th?id=OSK.7eecc7493acd5da763572de73e65abc1&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Srd>
</file>

<file path=xl/richData/rdarray.xml><?xml version="1.0" encoding="utf-8"?>
<arrayData xmlns="http://schemas.microsoft.com/office/spreadsheetml/2017/richdata2" count="63">
  <a r="2">
    <v t="r">20</v>
    <v t="r">21</v>
  </a>
  <a r="1">
    <v t="s">Albanian language</v>
  </a>
  <a r="12">
    <v t="r">39</v>
    <v t="r">40</v>
    <v t="r">41</v>
    <v t="r">42</v>
    <v t="r">43</v>
    <v t="r">44</v>
    <v t="r">45</v>
    <v t="r">46</v>
    <v t="r">47</v>
    <v t="r">48</v>
    <v t="r">49</v>
    <v t="r">50</v>
  </a>
  <a r="1">
    <v t="s">Central European Time</v>
  </a>
  <a r="2">
    <v t="r">78</v>
    <v t="r">79</v>
  </a>
  <a r="2">
    <v t="s">Arabic</v>
    <v t="s">Standard Algerian Berber</v>
  </a>
  <a r="48">
    <v t="r">98</v>
    <v t="r">99</v>
    <v t="r">100</v>
    <v t="r">101</v>
    <v t="r">102</v>
    <v t="r">103</v>
    <v t="r">104</v>
    <v t="r">105</v>
    <v t="r">106</v>
    <v t="r">107</v>
    <v t="r">108</v>
    <v t="r">109</v>
    <v t="r">110</v>
    <v t="r">111</v>
    <v t="r">112</v>
    <v t="r">113</v>
    <v t="r">114</v>
    <v t="r">115</v>
    <v t="r">116</v>
    <v t="r">117</v>
    <v t="r">118</v>
    <v t="r">119</v>
    <v t="r">120</v>
    <v t="r">121</v>
    <v t="r">122</v>
    <v t="r">123</v>
    <v t="r">124</v>
    <v t="r">125</v>
    <v t="r">126</v>
    <v t="r">127</v>
    <v t="r">128</v>
    <v t="r">129</v>
    <v t="r">130</v>
    <v t="r">131</v>
    <v t="r">132</v>
    <v t="r">133</v>
    <v t="r">134</v>
    <v t="r">135</v>
    <v t="r">136</v>
    <v t="r">137</v>
    <v t="r">138</v>
    <v t="r">139</v>
    <v t="r">140</v>
    <v t="r">141</v>
    <v t="r">142</v>
    <v t="r">143</v>
    <v t="r">144</v>
    <v t="r">145</v>
  </a>
  <a r="3">
    <v t="r">171</v>
    <v t="r">172</v>
    <v t="r">173</v>
  </a>
  <a r="3">
    <v t="s">Bosnian language</v>
    <v t="s">Croatian language</v>
    <v t="s">Serbian language</v>
  </a>
  <a r="3">
    <v t="r">188</v>
    <v t="r">189</v>
    <v t="r">190</v>
  </a>
  <a r="2">
    <v t="r">217</v>
    <v t="r">218</v>
  </a>
  <a r="1">
    <v t="s">Croatian language</v>
  </a>
  <a r="21">
    <v t="r">235</v>
    <v t="r">236</v>
    <v t="r">237</v>
    <v t="r">238</v>
    <v t="r">239</v>
    <v t="r">240</v>
    <v t="r">241</v>
    <v t="r">242</v>
    <v t="r">243</v>
    <v t="r">244</v>
    <v t="r">245</v>
    <v t="r">246</v>
    <v t="r">247</v>
    <v t="r">248</v>
    <v t="r">249</v>
    <v t="r">250</v>
    <v t="r">251</v>
    <v t="r">252</v>
    <v t="r">253</v>
    <v t="r">254</v>
    <v t="r">203</v>
  </a>
  <a r="1">
    <v t="r">281</v>
  </a>
  <a r="2">
    <v t="s">Greek language</v>
    <v t="s">Turkish language</v>
  </a>
  <a r="6">
    <v t="r">298</v>
    <v t="r">299</v>
    <v t="r">300</v>
    <v t="r">301</v>
    <v t="r">302</v>
    <v t="r">303</v>
  </a>
  <a r="2">
    <v t="r">330</v>
    <v t="r">331</v>
  </a>
  <a r="1">
    <v t="s">Modern Standard Arabic</v>
  </a>
  <a r="27">
    <v t="r">349</v>
    <v t="r">350</v>
    <v t="r">351</v>
    <v t="r">352</v>
    <v t="r">353</v>
    <v t="r">354</v>
    <v t="r">355</v>
    <v t="r">356</v>
    <v t="r">357</v>
    <v t="r">358</v>
    <v t="r">359</v>
    <v t="r">360</v>
    <v t="r">361</v>
    <v t="r">362</v>
    <v t="r">363</v>
    <v t="r">364</v>
    <v t="r">365</v>
    <v t="r">366</v>
    <v t="r">367</v>
    <v t="r">368</v>
    <v t="r">369</v>
    <v t="r">370</v>
    <v t="r">371</v>
    <v t="r">372</v>
    <v t="r">373</v>
    <v t="r">374</v>
    <v t="r">375</v>
  </a>
  <a r="2">
    <v t="r">402</v>
    <v t="r">403</v>
  </a>
  <a r="1">
    <v t="s">French language</v>
  </a>
  <a r="25">
    <v t="r">420</v>
    <v t="r">421</v>
    <v t="r">422</v>
    <v t="r">423</v>
    <v t="r">424</v>
    <v t="r">425</v>
    <v t="r">426</v>
    <v t="r">427</v>
    <v t="r">428</v>
    <v t="r">429</v>
    <v t="r">430</v>
    <v t="r">431</v>
    <v t="r">432</v>
    <v t="r">433</v>
    <v t="r">434</v>
    <v t="r">435</v>
    <v t="r">436</v>
    <v t="r">437</v>
    <v t="r">438</v>
    <v t="r">439</v>
    <v t="r">440</v>
    <v t="r">441</v>
    <v t="r">442</v>
    <v t="r">443</v>
    <v t="r">444</v>
  </a>
  <a r="4">
    <v t="r">457</v>
    <v t="r">458</v>
    <v t="r">459</v>
    <v t="r">460</v>
  </a>
  <a r="1">
    <v t="s">English language</v>
  </a>
  <a r="2">
    <v t="r">486</v>
    <v t="r">487</v>
  </a>
  <a r="1">
    <v t="s">Greek language</v>
  </a>
  <a r="12">
    <v t="r">505</v>
    <v t="r">506</v>
    <v t="r">507</v>
    <v t="r">508</v>
    <v t="r">509</v>
    <v t="r">510</v>
    <v t="r">511</v>
    <v t="r">512</v>
    <v t="r">513</v>
    <v t="r">514</v>
    <v t="r">515</v>
    <v t="r">516</v>
  </a>
  <a r="3">
    <v t="r">542</v>
    <v t="r">543</v>
    <v t="r">544</v>
  </a>
  <a r="1">
    <v t="s">Israeli (Modern) Hebrew</v>
  </a>
  <a r="6">
    <v t="r">562</v>
    <v t="r">563</v>
    <v t="r">564</v>
    <v t="r">565</v>
    <v t="r">566</v>
    <v t="r">567</v>
  </a>
  <a r="2">
    <v t="r">594</v>
    <v t="r">595</v>
  </a>
  <a r="1">
    <v t="s">Italian language</v>
  </a>
  <a r="20">
    <v t="r">609</v>
    <v t="r">610</v>
    <v t="r">611</v>
    <v t="r">612</v>
    <v t="r">613</v>
    <v t="r">614</v>
    <v t="r">615</v>
    <v t="r">616</v>
    <v t="r">617</v>
    <v t="r">618</v>
    <v t="r">619</v>
    <v t="r">620</v>
    <v t="r">621</v>
    <v t="r">622</v>
    <v t="r">623</v>
    <v t="r">624</v>
    <v t="r">625</v>
    <v t="r">626</v>
    <v t="r">627</v>
    <v t="r">628</v>
  </a>
  <a r="1">
    <v t="r">655</v>
  </a>
  <a r="1">
    <v t="s">Arabic</v>
  </a>
  <a r="6">
    <v t="r">671</v>
    <v t="r">672</v>
    <v t="r">673</v>
    <v t="r">674</v>
    <v t="r">675</v>
    <v t="r">676</v>
  </a>
  <a r="2">
    <v t="r">703</v>
    <v t="r">704</v>
  </a>
  <a r="26">
    <v t="r">714</v>
    <v t="r">715</v>
    <v t="r">716</v>
    <v t="r">717</v>
    <v t="r">718</v>
    <v t="r">719</v>
    <v t="r">720</v>
    <v t="r">721</v>
    <v t="r">722</v>
    <v t="r">723</v>
    <v t="r">724</v>
    <v t="r">725</v>
    <v t="r">726</v>
    <v t="r">727</v>
    <v t="r">728</v>
    <v t="r">729</v>
    <v t="r">730</v>
    <v t="r">731</v>
    <v t="r">732</v>
    <v t="r">733</v>
    <v t="r">734</v>
    <v t="r">735</v>
    <v t="r">736</v>
    <v t="r">737</v>
    <v t="r">738</v>
    <v t="r">739</v>
  </a>
  <a r="1">
    <v t="s">Eastern European Time</v>
  </a>
  <a r="2">
    <v t="r">765</v>
    <v t="r">766</v>
  </a>
  <a r="2">
    <v t="s">English</v>
    <v t="s">Maltese language</v>
  </a>
  <a r="2">
    <v t="r">794</v>
    <v t="r">795</v>
  </a>
  <a r="1">
    <v t="s">French of France</v>
  </a>
  <a r="3">
    <v t="r">825</v>
    <v t="r">826</v>
    <v t="r">827</v>
  </a>
  <a r="1">
    <v t="s">Montenegrin language</v>
  </a>
  <a r="22">
    <v t="r">843</v>
    <v t="r">844</v>
    <v t="r">845</v>
    <v t="r">846</v>
    <v t="r">847</v>
    <v t="r">848</v>
    <v t="r">849</v>
    <v t="r">850</v>
    <v t="r">851</v>
    <v t="r">852</v>
    <v t="r">853</v>
    <v t="r">854</v>
    <v t="r">855</v>
    <v t="r">856</v>
    <v t="r">857</v>
    <v t="r">858</v>
    <v t="r">859</v>
    <v t="r">860</v>
    <v t="r">861</v>
    <v t="r">862</v>
    <v t="r">863</v>
    <v t="r">864</v>
  </a>
  <a r="2">
    <v t="r">891</v>
    <v t="r">892</v>
  </a>
  <a r="2">
    <v t="s">Modern Standard Arabic</v>
    <v t="s">Standard Moroccan Amazigh</v>
  </a>
  <a r="12">
    <v t="r">909</v>
    <v t="r">910</v>
    <v t="r">911</v>
    <v t="r">912</v>
    <v t="r">913</v>
    <v t="r">914</v>
    <v t="r">915</v>
    <v t="r">916</v>
    <v t="r">917</v>
    <v t="r">918</v>
    <v t="r">919</v>
    <v t="r">920</v>
  </a>
  <a r="1">
    <v t="r">932</v>
  </a>
  <a r="2">
    <v t="r">956</v>
    <v t="r">957</v>
  </a>
  <a r="1">
    <v t="s">Slovene language</v>
  </a>
  <a r="125">
    <v t="r">975</v>
    <v t="r">976</v>
    <v t="r">977</v>
    <v t="r">978</v>
    <v t="r">979</v>
    <v t="r">980</v>
    <v t="r">981</v>
    <v t="r">982</v>
    <v t="r">983</v>
    <v t="r">984</v>
    <v t="r">985</v>
    <v t="r">986</v>
    <v t="r">987</v>
    <v t="r">988</v>
    <v t="r">989</v>
    <v t="r">990</v>
    <v t="r">991</v>
    <v t="r">992</v>
    <v t="r">993</v>
    <v t="r">994</v>
    <v t="r">995</v>
    <v t="r">996</v>
    <v t="r">997</v>
    <v t="r">998</v>
    <v t="r">999</v>
    <v t="r">1000</v>
    <v t="r">1001</v>
    <v t="r">1002</v>
    <v t="r">1003</v>
    <v t="r">1004</v>
    <v t="r">1005</v>
    <v t="r">1006</v>
    <v t="r">1007</v>
    <v t="r">1008</v>
    <v t="r">1009</v>
    <v t="r">1010</v>
    <v t="r">1011</v>
    <v t="r">1012</v>
    <v t="r">1013</v>
    <v t="r">1014</v>
    <v t="r">1015</v>
    <v t="r">1016</v>
    <v t="r">1017</v>
    <v t="r">1018</v>
    <v t="r">1019</v>
    <v t="r">1020</v>
    <v t="r">1021</v>
    <v t="r">1022</v>
    <v t="r">1023</v>
    <v t="r">1024</v>
    <v t="r">1025</v>
    <v t="r">1026</v>
    <v t="r">1027</v>
    <v t="r">1028</v>
    <v t="r">1029</v>
    <v t="r">1030</v>
    <v t="r">1031</v>
    <v t="r">1032</v>
    <v t="r">1033</v>
    <v t="r">1034</v>
    <v t="r">1035</v>
    <v t="r">1036</v>
    <v t="r">1037</v>
    <v t="r">1038</v>
    <v t="r">1039</v>
    <v t="r">1040</v>
    <v t="r">1041</v>
    <v t="r">1042</v>
    <v t="r">1043</v>
    <v t="r">1044</v>
    <v t="r">1045</v>
    <v t="r">1046</v>
    <v t="r">1047</v>
    <v t="r">1048</v>
    <v t="r">1049</v>
    <v t="r">1050</v>
    <v t="r">1051</v>
    <v t="r">1052</v>
    <v t="r">1053</v>
    <v t="r">1054</v>
    <v t="r">1055</v>
    <v t="r">1056</v>
    <v t="r">1057</v>
    <v t="r">1058</v>
    <v t="r">1059</v>
    <v t="r">1060</v>
    <v t="r">1061</v>
    <v t="r">1062</v>
    <v t="r">1063</v>
    <v t="r">1064</v>
    <v t="r">1065</v>
    <v t="r">1066</v>
    <v t="r">1067</v>
    <v t="r">1068</v>
    <v t="r">1069</v>
    <v t="r">1070</v>
    <v t="r">1071</v>
    <v t="r">1072</v>
    <v t="r">1073</v>
    <v t="r">1074</v>
    <v t="r">1075</v>
    <v t="r">1076</v>
    <v t="r">1077</v>
    <v t="r">1078</v>
    <v t="r">1079</v>
    <v t="r">1080</v>
    <v t="r">1081</v>
    <v t="r">1082</v>
    <v t="r">1083</v>
    <v t="r">1084</v>
    <v t="r">1085</v>
    <v t="r">1086</v>
    <v t="r">1087</v>
    <v t="r">1088</v>
    <v t="r">1089</v>
    <v t="r">1090</v>
    <v t="r">1091</v>
    <v t="r">1092</v>
    <v t="r">1093</v>
    <v t="r">1094</v>
    <v t="r">1095</v>
    <v t="r">1096</v>
    <v t="r">1097</v>
    <v t="r">1098</v>
    <v t="r">1099</v>
  </a>
  <a r="2">
    <v t="r">1125</v>
    <v t="r">1126</v>
  </a>
  <a r="1">
    <v t="s">Spanish language</v>
  </a>
  <a r="18">
    <v t="r">1143</v>
    <v t="r">1144</v>
    <v t="r">1145</v>
    <v t="r">1146</v>
    <v t="r">1147</v>
    <v t="r">1148</v>
    <v t="r">1149</v>
    <v t="r">1150</v>
    <v t="r">1151</v>
    <v t="r">1152</v>
    <v t="r">1153</v>
    <v t="r">1154</v>
    <v t="r">1155</v>
    <v t="r">1156</v>
    <v t="r">1157</v>
    <v t="r">1158</v>
    <v t="r">1159</v>
    <v t="r">1160</v>
  </a>
  <a r="3">
    <v t="r">1186</v>
    <v t="r">1187</v>
    <v t="r">1188</v>
  </a>
  <a r="14">
    <v t="r">1203</v>
    <v t="r">1204</v>
    <v t="r">1205</v>
    <v t="r">1206</v>
    <v t="r">1207</v>
    <v t="r">1208</v>
    <v t="r">1209</v>
    <v t="r">1210</v>
    <v t="r">1211</v>
    <v t="r">1212</v>
    <v t="r">1213</v>
    <v t="r">1214</v>
    <v t="r">1215</v>
    <v t="r">1216</v>
  </a>
  <a r="2">
    <v t="r">1243</v>
    <v t="r">1244</v>
  </a>
  <a r="24">
    <v t="r">1258</v>
    <v t="r">1259</v>
    <v t="r">1260</v>
    <v t="r">1261</v>
    <v t="r">1262</v>
    <v t="r">1263</v>
    <v t="r">1264</v>
    <v t="r">1265</v>
    <v t="r">1266</v>
    <v t="r">1267</v>
    <v t="r">1268</v>
    <v t="r">1269</v>
    <v t="r">1270</v>
    <v t="r">1271</v>
    <v t="r">1272</v>
    <v t="r">1273</v>
    <v t="r">1274</v>
    <v t="r">1275</v>
    <v t="r">1276</v>
    <v t="r">1277</v>
    <v t="r">1278</v>
    <v t="r">1279</v>
    <v t="r">1280</v>
    <v t="r">1281</v>
  </a>
  <a r="3">
    <v t="r">1308</v>
    <v t="r">1309</v>
    <v t="r">1310</v>
  </a>
  <a r="1">
    <v t="s">Turkish language</v>
  </a>
  <a r="81">
    <v t="r">1328</v>
    <v t="r">1329</v>
    <v t="r">1330</v>
    <v t="r">1331</v>
    <v t="r">1332</v>
    <v t="r">1333</v>
    <v t="r">1334</v>
    <v t="r">1335</v>
    <v t="r">1336</v>
    <v t="r">1337</v>
    <v t="r">1338</v>
    <v t="r">1339</v>
    <v t="r">1340</v>
    <v t="r">1341</v>
    <v t="r">1342</v>
    <v t="r">1343</v>
    <v t="r">1344</v>
    <v t="r">1345</v>
    <v t="r">1346</v>
    <v t="r">1347</v>
    <v t="r">1348</v>
    <v t="r">1349</v>
    <v t="r">1350</v>
    <v t="r">1351</v>
    <v t="r">1352</v>
    <v t="r">1353</v>
    <v t="r">1354</v>
    <v t="r">1355</v>
    <v t="r">1356</v>
    <v t="r">1357</v>
    <v t="r">1358</v>
    <v t="r">1359</v>
    <v t="r">1360</v>
    <v t="r">1361</v>
    <v t="r">1362</v>
    <v t="r">1363</v>
    <v t="r">1364</v>
    <v t="r">1365</v>
    <v t="r">1366</v>
    <v t="r">1367</v>
    <v t="r">1368</v>
    <v t="r">1369</v>
    <v t="r">1370</v>
    <v t="r">1371</v>
    <v t="r">1372</v>
    <v t="r">1373</v>
    <v t="r">1374</v>
    <v t="r">1375</v>
    <v t="r">1376</v>
    <v t="r">1377</v>
    <v t="r">1378</v>
    <v t="r">1379</v>
    <v t="r">1380</v>
    <v t="r">1381</v>
    <v t="r">1382</v>
    <v t="r">1383</v>
    <v t="r">1384</v>
    <v t="r">1385</v>
    <v t="r">1386</v>
    <v t="r">1387</v>
    <v t="r">1388</v>
    <v t="r">1389</v>
    <v t="r">1390</v>
    <v t="r">1391</v>
    <v t="r">1392</v>
    <v t="r">1393</v>
    <v t="r">1394</v>
    <v t="r">1395</v>
    <v t="r">1396</v>
    <v t="r">1397</v>
    <v t="r">1398</v>
    <v t="r">1399</v>
    <v t="r">1400</v>
    <v t="r">1401</v>
    <v t="r">1402</v>
    <v t="r">1403</v>
    <v t="r">1404</v>
    <v t="r">1405</v>
    <v t="r">1406</v>
    <v t="r">1407</v>
    <v t="r">1408</v>
  </a>
</arrayData>
</file>

<file path=xl/richData/rdrichvalue.xml><?xml version="1.0" encoding="utf-8"?>
<rvData xmlns="http://schemas.microsoft.com/office/spreadsheetml/2017/richdata" count="1415">
  <rv s="0">
    <v>536870912</v>
    <v>Albania</v>
    <v>bb9fa97a-a48f-634d-5eeb-22dfd5d6fe3f</v>
    <v>en-GB</v>
    <v>Map</v>
  </rv>
  <rv s="1">
    <fb>0.43127735444229204</fb>
    <v>23</v>
  </rv>
  <rv s="1">
    <fb>28748</fb>
    <v>24</v>
  </rv>
  <rv s="1">
    <fb>9000</fb>
    <v>24</v>
  </rv>
  <rv s="1">
    <fb>11.78</fb>
    <v>25</v>
  </rv>
  <rv s="1">
    <fb>355</fb>
    <v>26</v>
  </rv>
  <rv s="0">
    <v>536870912</v>
    <v>Tirana</v>
    <v>dfc7b09c-d0b8-1a92-df3b-f227d63e29b3</v>
    <v>en-GB</v>
    <v>Map</v>
  </rv>
  <rv s="1">
    <fb>4536.0789999999997</fb>
    <v>24</v>
  </rv>
  <rv s="1">
    <fb>119.04925838438101</fb>
    <v>27</v>
  </rv>
  <rv s="1">
    <fb>1.41109078954244E-2</fb>
    <v>23</v>
  </rv>
  <rv s="1">
    <fb>2309.3665025558098</fb>
    <v>24</v>
  </rv>
  <rv s="1">
    <fb>1.617</fb>
    <v>25</v>
  </rv>
  <rv s="1">
    <fb>0.28121897008297198</fb>
    <v>23</v>
  </rv>
  <rv s="1">
    <fb>61.421801394263802</fb>
    <v>28</v>
  </rv>
  <rv s="1">
    <fb>1.36</fb>
    <v>29</v>
  </rv>
  <rv s="1">
    <fb>15278077446.8643</fb>
    <v>30</v>
  </rv>
  <rv s="1">
    <fb>1.0699342000000001</fb>
    <v>23</v>
  </rv>
  <rv s="1">
    <fb>0.54961329999999997</fb>
    <v>23</v>
  </rv>
  <rv s="2">
    <v>0</v>
    <v>21</v>
    <v>2</v>
    <v>7</v>
    <v>0</v>
    <v>Image of Albania</v>
  </rv>
  <rv s="1">
    <fb>7.8</fb>
    <v>28</v>
  </rv>
  <rv s="0">
    <v>805306368</v>
    <v>Bajram Begaj (President)</v>
    <v>4bd28903-8326-e508-be49-1f6e00ecc414</v>
    <v>en-GB</v>
    <v>Generic</v>
  </rv>
  <rv s="0">
    <v>805306368</v>
    <v>Edi Rama (Prime minister)</v>
    <v>a8db445f-2f2e-cde7-88b8-114189a700d1</v>
    <v>en-GB</v>
    <v>Generic</v>
  </rv>
  <rv s="3">
    <v>0</v>
  </rv>
  <rv s="4">
    <v>https://www.bing.com/search?q=albania&amp;form=skydnc</v>
    <v>Learn more on Bing</v>
  </rv>
  <rv s="1">
    <fb>78.457999999999998</fb>
    <v>28</v>
  </rv>
  <rv s="1">
    <fb>15</fb>
    <v>28</v>
  </rv>
  <rv s="1">
    <fb>1.1200000000000001</fb>
    <v>29</v>
  </rv>
  <rv s="3">
    <v>1</v>
  </rv>
  <rv s="1">
    <fb>0.56925469890000002</fb>
    <v>23</v>
  </rv>
  <rv s="1">
    <fb>1.1998</fb>
    <v>25</v>
  </rv>
  <rv s="1">
    <fb>2775634</fb>
    <v>24</v>
  </rv>
  <rv s="1">
    <fb>0.23300000000000001</fb>
    <v>23</v>
  </rv>
  <rv s="1">
    <fb>0.248</fb>
    <v>23</v>
  </rv>
  <rv s="1">
    <fb>0.40700000000000003</fb>
    <v>23</v>
  </rv>
  <rv s="1">
    <fb>3.1E-2</fb>
    <v>23</v>
  </rv>
  <rv s="1">
    <fb>7.4999999999999997E-2</fb>
    <v>23</v>
  </rv>
  <rv s="1">
    <fb>0.12</fb>
    <v>23</v>
  </rv>
  <rv s="1">
    <fb>0.16500000000000001</fb>
    <v>23</v>
  </rv>
  <rv s="1">
    <fb>0.55731998443603503</fb>
    <v>23</v>
  </rv>
  <rv s="0">
    <v>536870912</v>
    <v>Berat County</v>
    <v>01968c2b-daec-a2a7-275b-824389c034c8</v>
    <v>en-GB</v>
    <v>Map</v>
  </rv>
  <rv s="0">
    <v>536870912</v>
    <v>Dibër County</v>
    <v>b5c567c6-687f-ae2c-7528-a5c3a901aa2d</v>
    <v>en-GB</v>
    <v>Map</v>
  </rv>
  <rv s="0">
    <v>536870912</v>
    <v>Durrës County</v>
    <v>ea9915f6-84d9-48dc-7f0c-8a7ba599e3d3</v>
    <v>en-GB</v>
    <v>Map</v>
  </rv>
  <rv s="0">
    <v>536870912</v>
    <v>Elbasan County</v>
    <v>eae5363e-fefe-7ca9-433c-01efa8c0e0d6</v>
    <v>en-GB</v>
    <v>Map</v>
  </rv>
  <rv s="0">
    <v>536870912</v>
    <v>Fier County</v>
    <v>f29399f6-60c8-4e8f-dc55-63563bd2bb99</v>
    <v>en-GB</v>
    <v>Map</v>
  </rv>
  <rv s="0">
    <v>536870912</v>
    <v>Gjirokastër County</v>
    <v>c45588d3-34a7-8c31-f18c-940f2ceaa8ad</v>
    <v>en-GB</v>
    <v>Map</v>
  </rv>
  <rv s="0">
    <v>536870912</v>
    <v>Korçë County</v>
    <v>a9670c9a-9795-237b-b6dd-6396ef1a7aa3</v>
    <v>en-GB</v>
    <v>Map</v>
  </rv>
  <rv s="0">
    <v>536870912</v>
    <v>Kukës County</v>
    <v>e806dfc8-9082-7d29-b543-270834c82cb8</v>
    <v>en-GB</v>
    <v>Map</v>
  </rv>
  <rv s="0">
    <v>536870912</v>
    <v>Lezhë County</v>
    <v>8c522355-68c8-e81d-b510-02c3418f07e7</v>
    <v>en-GB</v>
    <v>Map</v>
  </rv>
  <rv s="0">
    <v>536870912</v>
    <v>Shkodër County</v>
    <v>dc286f1f-429c-7703-de2d-0b1b940d6a49</v>
    <v>en-GB</v>
    <v>Map</v>
  </rv>
  <rv s="0">
    <v>536870912</v>
    <v>Tirana County</v>
    <v>94012264-6b46-af1a-8df5-b63a44a11277</v>
    <v>en-GB</v>
    <v>Map</v>
  </rv>
  <rv s="0">
    <v>536870912</v>
    <v>Vlorë County</v>
    <v>408be633-7423-80d9-87da-63e68b5da2cd</v>
    <v>en-GB</v>
    <v>Map</v>
  </rv>
  <rv s="3">
    <v>2</v>
  </rv>
  <rv s="1">
    <fb>0.18557475395326101</fb>
    <v>23</v>
  </rv>
  <rv s="3">
    <v>3</v>
  </rv>
  <rv s="1">
    <fb>0.36599999999999999</fb>
    <v>23</v>
  </rv>
  <rv s="1">
    <fb>0.12331000328064</fb>
    <v>31</v>
  </rv>
  <rv s="1">
    <fb>1747593</fb>
    <v>24</v>
  </rv>
  <rv s="5">
    <v>#VALUE!</v>
    <v>en-GB</v>
    <v>bb9fa97a-a48f-634d-5eeb-22dfd5d6fe3f</v>
    <v>536870912</v>
    <v>1</v>
    <v>16</v>
    <v>17</v>
    <v>Albania</v>
    <v>19</v>
    <v>20</v>
    <v>Map</v>
    <v>21</v>
    <v>22</v>
    <v>AL</v>
    <v>1</v>
    <v>2</v>
    <v>3</v>
    <v>4</v>
    <v>5</v>
    <v>6</v>
    <v>7</v>
    <v>8</v>
    <v>9</v>
    <v>ALL</v>
    <v>Albania, officially the Republic of Albania, is a country in Southeast Europe. The country is located in the Balkans on the Adriatic and Ionian Seas within the Mediterranean Sea and shares land borders with Montenegro to the northwest, Kosovo to ...</v>
    <v>10</v>
    <v>11</v>
    <v>12</v>
    <v>13</v>
    <v>14</v>
    <v>15</v>
    <v>16</v>
    <v>17</v>
    <v>18</v>
    <v>19</v>
    <v>6</v>
    <v>22</v>
    <v>23</v>
    <v>24</v>
    <v>25</v>
    <v>26</v>
    <v>Albania</v>
    <v>Himni i Flamurit</v>
    <v>27</v>
    <v>Republika e Shqipërisë</v>
    <v>28</v>
    <v>29</v>
    <v>30</v>
    <v>31</v>
    <v>32</v>
    <v>33</v>
    <v>34</v>
    <v>35</v>
    <v>36</v>
    <v>37</v>
    <v>38</v>
    <v>51</v>
    <v>52</v>
    <v>53</v>
    <v>54</v>
    <v>55</v>
    <v>Albania</v>
    <v>56</v>
    <v>mdp/vdpid/6</v>
  </rv>
  <rv s="0">
    <v>536870912</v>
    <v>Algeria</v>
    <v>9670a4ec-16dd-f8c8-9fa8-4a541682532b</v>
    <v>en-GB</v>
    <v>Map</v>
  </rv>
  <rv s="1">
    <fb>0.17365539151523698</fb>
    <v>23</v>
  </rv>
  <rv s="1">
    <fb>2381741</fb>
    <v>24</v>
  </rv>
  <rv s="1">
    <fb>317000</fb>
    <v>24</v>
  </rv>
  <rv s="1">
    <fb>24.282</fb>
    <v>25</v>
  </rv>
  <rv s="1">
    <fb>213</fb>
    <v>26</v>
  </rv>
  <rv s="0">
    <v>536870912</v>
    <v>Algiers</v>
    <v>4ae67151-d610-04af-dcbe-ab5836a4ec9a</v>
    <v>en-GB</v>
    <v>Map</v>
  </rv>
  <rv s="1">
    <fb>150005.96900000001</fb>
    <v>24</v>
  </rv>
  <rv s="1">
    <fb>151.36166776774601</fb>
    <v>27</v>
  </rv>
  <rv s="1">
    <fb>1.95176821052894E-2</fb>
    <v>23</v>
  </rv>
  <rv s="1">
    <fb>1362.87191909646</fb>
    <v>24</v>
  </rv>
  <rv s="1">
    <fb>3.0230000000000001</fb>
    <v>25</v>
  </rv>
  <rv s="1">
    <fb>8.2443926523715402E-3</fb>
    <v>23</v>
  </rv>
  <rv s="1">
    <fb>99.977916720160493</fb>
    <v>28</v>
  </rv>
  <rv s="1">
    <fb>0.28000000000000003</fb>
    <v>29</v>
  </rv>
  <rv s="1">
    <fb>169988236398.12601</fb>
    <v>30</v>
  </rv>
  <rv s="1">
    <fb>1.0988282</fb>
    <v>23</v>
  </rv>
  <rv s="1">
    <fb>0.51365669999999997</fb>
    <v>23</v>
  </rv>
  <rv s="2">
    <v>1</v>
    <v>21</v>
    <v>33</v>
    <v>7</v>
    <v>0</v>
    <v>Image of Algeria</v>
  </rv>
  <rv s="1">
    <fb>20.100000000000001</fb>
    <v>28</v>
  </rv>
  <rv s="0">
    <v>805306368</v>
    <v>Abdelmadjid Tebboune (President)</v>
    <v>436c70fd-cb2e-c836-8892-66d5579a3e0d</v>
    <v>en-GB</v>
    <v>Generic</v>
  </rv>
  <rv s="0">
    <v>805306368</v>
    <v>Nadir Larbaoui (Prime minister)</v>
    <v>1787c8b3-1c4c-fb85-6a09-2f5a637efb79</v>
    <v>en-GB</v>
    <v>Generic</v>
  </rv>
  <rv s="3">
    <v>4</v>
  </rv>
  <rv s="4">
    <v>https://www.bing.com/search?q=algeria&amp;form=skydnc</v>
    <v>Learn more on Bing</v>
  </rv>
  <rv s="1">
    <fb>76.692999999999998</fb>
    <v>28</v>
  </rv>
  <rv s="1">
    <fb>371418617.76844501</fb>
    <v>30</v>
  </rv>
  <rv s="1">
    <fb>112</fb>
    <v>28</v>
  </rv>
  <rv s="1">
    <fb>0.95</fb>
    <v>29</v>
  </rv>
  <rv s="3">
    <v>5</v>
  </rv>
  <rv s="1">
    <fb>0.2809868089</fb>
    <v>23</v>
  </rv>
  <rv s="1">
    <fb>1.7193000000000001</fb>
    <v>25</v>
  </rv>
  <rv s="1">
    <fb>44903225</fb>
    <v>24</v>
  </rv>
  <rv s="1">
    <fb>0.223</fb>
    <v>23</v>
  </rv>
  <rv s="1">
    <fb>0.22899999999999998</fb>
    <v>23</v>
  </rv>
  <rv s="1">
    <fb>0.37200000000000005</fb>
    <v>23</v>
  </rv>
  <rv s="1">
    <fb>0.04</fb>
    <v>23</v>
  </rv>
  <rv s="1">
    <fb>9.4E-2</fb>
    <v>23</v>
  </rv>
  <rv s="1">
    <fb>0.13699999999999998</fb>
    <v>23</v>
  </rv>
  <rv s="1">
    <fb>0.17499999999999999</fb>
    <v>23</v>
  </rv>
  <rv s="1">
    <fb>0.41150001525878899</fb>
    <v>23</v>
  </rv>
  <rv s="0">
    <v>536870912</v>
    <v>Adrar Province</v>
    <v>e80340d2-0aa5-2b0c-fb1c-bd69bab50fee</v>
    <v>en-GB</v>
    <v>Map</v>
  </rv>
  <rv s="0">
    <v>536870912</v>
    <v>Chlef Province</v>
    <v>1acf3983-2a04-0df1-0997-69dc42da586f</v>
    <v>en-GB</v>
    <v>Map</v>
  </rv>
  <rv s="0">
    <v>536870912</v>
    <v>Laghouat Province</v>
    <v>d4076a39-39e3-f41a-92d2-b9618007f75f</v>
    <v>en-GB</v>
    <v>Map</v>
  </rv>
  <rv s="0">
    <v>536870912</v>
    <v>Oum El Bouaghi Province</v>
    <v>1e877a8b-f23f-144a-273a-acf4cf64e874</v>
    <v>en-GB</v>
    <v>Map</v>
  </rv>
  <rv s="0">
    <v>536870912</v>
    <v>Batna Province</v>
    <v>03798679-3067-3ce1-e775-136bc42632b4</v>
    <v>en-GB</v>
    <v>Map</v>
  </rv>
  <rv s="0">
    <v>536870912</v>
    <v>Bejaia Province</v>
    <v>30f9883c-00f0-bcb1-5b07-73c107d4ec27</v>
    <v>en-GB</v>
    <v>Map</v>
  </rv>
  <rv s="0">
    <v>536870912</v>
    <v>Biskra Province</v>
    <v>30caea82-5ebf-afc8-093d-b1fcc02f8822</v>
    <v>en-GB</v>
    <v>Map</v>
  </rv>
  <rv s="0">
    <v>536870912</v>
    <v>Béchar Province</v>
    <v>24f80762-70ab-125d-3b2a-fb404f45b0c9</v>
    <v>en-GB</v>
    <v>Map</v>
  </rv>
  <rv s="0">
    <v>536870912</v>
    <v>Blida Province</v>
    <v>71591415-5039-fe81-f0d4-611b0460e355</v>
    <v>en-GB</v>
    <v>Map</v>
  </rv>
  <rv s="0">
    <v>536870912</v>
    <v>Bouira Province</v>
    <v>55ca513f-5cd5-7951-a652-a1fb57037b1b</v>
    <v>en-GB</v>
    <v>Map</v>
  </rv>
  <rv s="0">
    <v>536870912</v>
    <v>Tamanrasset Province</v>
    <v>8348fc50-5a85-1652-57b9-c003a081b5df</v>
    <v>en-GB</v>
    <v>Map</v>
  </rv>
  <rv s="0">
    <v>536870912</v>
    <v>Tébessa Province</v>
    <v>f2ebf872-2516-1716-e59d-f3545c77d034</v>
    <v>en-GB</v>
    <v>Map</v>
  </rv>
  <rv s="0">
    <v>536870912</v>
    <v>Tlemcen Province</v>
    <v>69d07753-699a-b527-d530-1469a9ff5a30</v>
    <v>en-GB</v>
    <v>Map</v>
  </rv>
  <rv s="0">
    <v>536870912</v>
    <v>Tiaret Province</v>
    <v>26ec220a-73b5-8acc-51e5-f254398bda65</v>
    <v>en-GB</v>
    <v>Map</v>
  </rv>
  <rv s="0">
    <v>536870912</v>
    <v>Tizi Ouzou Province</v>
    <v>c41bb1c1-e903-14bd-c6f9-df096c22fbe6</v>
    <v>en-GB</v>
    <v>Map</v>
  </rv>
  <rv s="0">
    <v>536870912</v>
    <v>Algiers Province</v>
    <v>ea8a9141-0ad1-066d-5e89-cb0db5eb4917</v>
    <v>en-GB</v>
    <v>Map</v>
  </rv>
  <rv s="0">
    <v>536870912</v>
    <v>Djelfa Province</v>
    <v>831a90bb-6e78-8f93-6238-5392a1713a9d</v>
    <v>en-GB</v>
    <v>Map</v>
  </rv>
  <rv s="0">
    <v>536870912</v>
    <v>Jijel Province</v>
    <v>919f38f1-2c46-7d06-90e9-1d6e9fc5538a</v>
    <v>en-GB</v>
    <v>Map</v>
  </rv>
  <rv s="0">
    <v>536870912</v>
    <v>Sétif Province</v>
    <v>060f7c8c-07c4-f638-2a58-1eaf6fbf9249</v>
    <v>en-GB</v>
    <v>Map</v>
  </rv>
  <rv s="0">
    <v>536870912</v>
    <v>Saïda Province</v>
    <v>3fa9fedb-4fa5-1a1d-4434-2cf1ac843569</v>
    <v>en-GB</v>
    <v>Map</v>
  </rv>
  <rv s="0">
    <v>536870912</v>
    <v>Skikda Province</v>
    <v>138b26fc-1717-c9a9-7539-e60aa374f21a</v>
    <v>en-GB</v>
    <v>Map</v>
  </rv>
  <rv s="0">
    <v>536870912</v>
    <v>Sidi Bel Abbès Province</v>
    <v>69b6ecb6-5801-49ba-06fe-3c6d9972fd69</v>
    <v>en-GB</v>
    <v>Map</v>
  </rv>
  <rv s="0">
    <v>536870912</v>
    <v>Annaba Province</v>
    <v>a6e46d37-fc33-8276-f921-57d5fe6789af</v>
    <v>en-GB</v>
    <v>Map</v>
  </rv>
  <rv s="0">
    <v>536870912</v>
    <v>Guelma Province</v>
    <v>94b58887-31b3-08b5-6536-39538653ae1f</v>
    <v>en-GB</v>
    <v>Map</v>
  </rv>
  <rv s="0">
    <v>536870912</v>
    <v>Constantine Province</v>
    <v>eb74d20a-ef89-edde-bd54-ae45f66e22cb</v>
    <v>en-GB</v>
    <v>Map</v>
  </rv>
  <rv s="0">
    <v>536870912</v>
    <v>Médéa Province</v>
    <v>3da968a2-6ead-44cf-bc06-fd404b739dba</v>
    <v>en-GB</v>
    <v>Map</v>
  </rv>
  <rv s="0">
    <v>536870912</v>
    <v>Mostaganem Province</v>
    <v>36d36997-eea3-4842-7a5e-49f78217c3b7</v>
    <v>en-GB</v>
    <v>Map</v>
  </rv>
  <rv s="0">
    <v>536870912</v>
    <v>M'Sila Province</v>
    <v>63b01c60-7512-43c0-9b2e-6b6dba83f42f</v>
    <v>en-GB</v>
    <v>Map</v>
  </rv>
  <rv s="0">
    <v>536870912</v>
    <v>Mascara Province</v>
    <v>3ff9b333-7d59-1405-1ca1-803a869f3996</v>
    <v>en-GB</v>
    <v>Map</v>
  </rv>
  <rv s="0">
    <v>536870912</v>
    <v>Ouargla Province</v>
    <v>39052d39-9c8a-f6bb-7992-377b3fb685ee</v>
    <v>en-GB</v>
    <v>Map</v>
  </rv>
  <rv s="0">
    <v>536870912</v>
    <v>Oran Province</v>
    <v>829bd425-a119-4b49-b667-0ae18016a69d</v>
    <v>en-GB</v>
    <v>Map</v>
  </rv>
  <rv s="0">
    <v>536870912</v>
    <v>El Bayadh Province</v>
    <v>840dda87-341b-8851-c804-6090462701dc</v>
    <v>en-GB</v>
    <v>Map</v>
  </rv>
  <rv s="0">
    <v>536870912</v>
    <v>Illizi Province</v>
    <v>536aa71a-66b8-79ef-13c3-ff4fdcdff0ed</v>
    <v>en-GB</v>
    <v>Map</v>
  </rv>
  <rv s="0">
    <v>536870912</v>
    <v>Bordj Bou Arréridj Province</v>
    <v>ee29c9bc-9c3f-6a55-0bdf-5f8ea504a1ae</v>
    <v>en-GB</v>
    <v>Map</v>
  </rv>
  <rv s="0">
    <v>536870912</v>
    <v>Boumerdès Province</v>
    <v>b901dc60-651a-6b30-3086-01e6ef851d60</v>
    <v>en-GB</v>
    <v>Map</v>
  </rv>
  <rv s="0">
    <v>536870912</v>
    <v>El Taref Province</v>
    <v>07d91857-cce9-d9c1-d1e1-667e6c62dd04</v>
    <v>en-GB</v>
    <v>Map</v>
  </rv>
  <rv s="0">
    <v>536870912</v>
    <v>Tindouf Province</v>
    <v>788fbab2-bfde-86b7-ad42-160dc24f5efa</v>
    <v>en-GB</v>
    <v>Map</v>
  </rv>
  <rv s="0">
    <v>536870912</v>
    <v>Tissemsilt Province</v>
    <v>c9cb8041-1f5f-e573-0832-218ec37b549c</v>
    <v>en-GB</v>
    <v>Map</v>
  </rv>
  <rv s="0">
    <v>536870912</v>
    <v>El Oued Province</v>
    <v>d0e2786c-ea9d-dc18-983c-bd8019d89ffe</v>
    <v>en-GB</v>
    <v>Map</v>
  </rv>
  <rv s="0">
    <v>536870912</v>
    <v>Khenchela Province</v>
    <v>c88af56d-093f-fb0a-943e-79bf2fef03df</v>
    <v>en-GB</v>
    <v>Map</v>
  </rv>
  <rv s="0">
    <v>536870912</v>
    <v>Souk Ahras Province</v>
    <v>a69fb5c9-79e5-4c96-b4a3-2828652e0600</v>
    <v>en-GB</v>
    <v>Map</v>
  </rv>
  <rv s="0">
    <v>536870912</v>
    <v>Tipasa Province</v>
    <v>a29c7857-b220-2939-ae52-084e1879daff</v>
    <v>en-GB</v>
    <v>Map</v>
  </rv>
  <rv s="0">
    <v>536870912</v>
    <v>Mila Province</v>
    <v>51dcefda-cbda-a660-78bf-2a927a530acf</v>
    <v>en-GB</v>
    <v>Map</v>
  </rv>
  <rv s="0">
    <v>536870912</v>
    <v>Aïn Defla Province</v>
    <v>3ebea165-7a1f-fc5d-6bd7-3e252f0e47c7</v>
    <v>en-GB</v>
    <v>Map</v>
  </rv>
  <rv s="0">
    <v>536870912</v>
    <v>Naama Province</v>
    <v>f5d98543-5eaf-b83a-8198-a5c40fe9cf09</v>
    <v>en-GB</v>
    <v>Map</v>
  </rv>
  <rv s="0">
    <v>536870912</v>
    <v>Aïn Témouchent Province</v>
    <v>d08a520e-10b6-7977-186b-3702c2f6569f</v>
    <v>en-GB</v>
    <v>Map</v>
  </rv>
  <rv s="0">
    <v>536870912</v>
    <v>Ghardaïa Province</v>
    <v>ad52639a-6c24-85ac-b45e-bfcb70c7c9de</v>
    <v>en-GB</v>
    <v>Map</v>
  </rv>
  <rv s="0">
    <v>536870912</v>
    <v>Relizane Province</v>
    <v>1e82e6d1-4556-73c7-20ee-ced90d66ec84</v>
    <v>en-GB</v>
    <v>Map</v>
  </rv>
  <rv s="3">
    <v>6</v>
  </rv>
  <rv s="1">
    <fb>0.37184736139700098</fb>
    <v>23</v>
  </rv>
  <rv s="1">
    <fb>0.66099999999999992</fb>
    <v>23</v>
  </rv>
  <rv s="1">
    <fb>0.11704000473022499</fb>
    <v>31</v>
  </rv>
  <rv s="1">
    <fb>31510100</fb>
    <v>24</v>
  </rv>
  <rv s="6">
    <v>#VALUE!</v>
    <v>en-GB</v>
    <v>9670a4ec-16dd-f8c8-9fa8-4a541682532b</v>
    <v>536870912</v>
    <v>1</v>
    <v>36</v>
    <v>37</v>
    <v>Algeria</v>
    <v>19</v>
    <v>20</v>
    <v>Map</v>
    <v>21</v>
    <v>38</v>
    <v>DZ</v>
    <v>59</v>
    <v>60</v>
    <v>61</v>
    <v>62</v>
    <v>63</v>
    <v>64</v>
    <v>65</v>
    <v>66</v>
    <v>67</v>
    <v>DZD</v>
    <v>Algeria, officially the People's Democratic Republic of Algeria, is a country in North Africa. Algeria is bordered to the northeast by Tunisia; to the east by Libya; to the southeast by Niger; to the southwest by Mali, Mauritania, and Western ...</v>
    <v>68</v>
    <v>69</v>
    <v>70</v>
    <v>71</v>
    <v>72</v>
    <v>73</v>
    <v>74</v>
    <v>75</v>
    <v>76</v>
    <v>77</v>
    <v>64</v>
    <v>80</v>
    <v>81</v>
    <v>82</v>
    <v>83</v>
    <v>84</v>
    <v>85</v>
    <v>Algeria</v>
    <v>Kassaman</v>
    <v>86</v>
    <v>اَلْجُمهُورِيَّة اَلْجَزَائِرِيَّة اَلدِّيمُقرَاطِيَّة اَلشَّعبِيَّة</v>
    <v>87</v>
    <v>88</v>
    <v>89</v>
    <v>90</v>
    <v>91</v>
    <v>92</v>
    <v>93</v>
    <v>94</v>
    <v>95</v>
    <v>96</v>
    <v>97</v>
    <v>146</v>
    <v>147</v>
    <v>148</v>
    <v>149</v>
    <v>Algeria</v>
    <v>150</v>
    <v>mdp/vdpid/4</v>
  </rv>
  <rv s="0">
    <v>536870912</v>
    <v>Bosnia and Herzegovina</v>
    <v>d4cae21e-b3ba-1c2f-fa55-9c516a522c1b</v>
    <v>en-GB</v>
    <v>Map</v>
  </rv>
  <rv s="1">
    <fb>0.43144531250000001</fb>
    <v>23</v>
  </rv>
  <rv s="1">
    <fb>51197</fb>
    <v>24</v>
  </rv>
  <rv s="1">
    <fb>11000</fb>
    <v>24</v>
  </rv>
  <rv s="1">
    <fb>8.1110000000000007</fb>
    <v>25</v>
  </rv>
  <rv s="1">
    <fb>387</fb>
    <v>26</v>
  </rv>
  <rv s="0">
    <v>536870912</v>
    <v>Sarajevo</v>
    <v>377e62c3-d9a6-4966-991a-32be280889e0</v>
    <v>en-GB</v>
    <v>Map</v>
  </rv>
  <rv s="1">
    <fb>21847.986000000001</fb>
    <v>24</v>
  </rv>
  <rv s="1">
    <fb>104.896137350469</fb>
    <v>27</v>
  </rv>
  <rv s="1">
    <fb>5.6278215406130308E-3</fb>
    <v>23</v>
  </rv>
  <rv s="1">
    <fb>3446.76666750907</fb>
    <v>24</v>
  </rv>
  <rv s="1">
    <fb>1.2649999999999999</fb>
    <v>25</v>
  </rv>
  <rv s="1">
    <fb>0.4267578125</fb>
    <v>23</v>
  </rv>
  <rv s="1">
    <fb>77.522044967234194</fb>
    <v>28</v>
  </rv>
  <rv s="1">
    <fb>1.05</fb>
    <v>29</v>
  </rv>
  <rv s="1">
    <fb>20047848434.548698</fb>
    <v>30</v>
  </rv>
  <rv s="1">
    <fb>0.2334466</fb>
    <v>23</v>
  </rv>
  <rv s="2">
    <v>2</v>
    <v>21</v>
    <v>40</v>
    <v>7</v>
    <v>0</v>
    <v>Image of Bosnia and Herzegovina</v>
  </rv>
  <rv s="1">
    <fb>5</fb>
    <v>28</v>
  </rv>
  <rv s="0">
    <v>805306368</v>
    <v>Christian Schmidt (High Representative)</v>
    <v>bc4efa5b-707f-4690-a7bf-f7f71fd9d869</v>
    <v>en-GB</v>
    <v>Generic</v>
  </rv>
  <rv s="0">
    <v>805306368</v>
    <v>Željko Komšić (Chairman)</v>
    <v>cdfb74d2-6d06-071a-db5c-7509ea848913</v>
    <v>en-GB</v>
    <v>Generic</v>
  </rv>
  <rv s="0">
    <v>805306368</v>
    <v>Borjana Krišto (Chairwoman)</v>
    <v>476f6b1a-ac95-1ab9-d9cd-c6e0e7c57d86</v>
    <v>en-GB</v>
    <v>Generic</v>
  </rv>
  <rv s="3">
    <v>7</v>
  </rv>
  <rv s="4">
    <v>https://www.bing.com/search?q=bosnia+and+herzegovina&amp;form=skydnc</v>
    <v>Learn more on Bing</v>
  </rv>
  <rv s="1">
    <fb>77.262</fb>
    <v>28</v>
  </rv>
  <rv s="1">
    <fb>10</fb>
    <v>28</v>
  </rv>
  <rv s="1">
    <fb>1.04</fb>
    <v>29</v>
  </rv>
  <rv s="3">
    <v>8</v>
  </rv>
  <rv s="1">
    <fb>0.2863505703</fb>
    <v>23</v>
  </rv>
  <rv s="1">
    <fb>2.1616</fb>
    <v>25</v>
  </rv>
  <rv s="1">
    <fb>3233526</fb>
    <v>24</v>
  </rv>
  <rv s="1">
    <fb>0.251</fb>
    <v>23</v>
  </rv>
  <rv s="1">
    <fb>2.8999999999999998E-2</fb>
    <v>23</v>
  </rv>
  <rv s="1">
    <fb>0.12300000000000001</fb>
    <v>23</v>
  </rv>
  <rv s="1">
    <fb>0.16699999999999998</fb>
    <v>23</v>
  </rv>
  <rv s="1">
    <fb>0.46395000457763702</fb>
    <v>23</v>
  </rv>
  <rv s="0">
    <v>536870912</v>
    <v>Federation of Bosnia and Herzegovina</v>
    <v>47ecb05c-2b04-6687-3768-5ad1d4122d13</v>
    <v>en-GB</v>
    <v>Map</v>
  </rv>
  <rv s="0">
    <v>536870912</v>
    <v>Republika Srpska</v>
    <v>2fe856d7-b6f4-dbce-fa75-9ac4319b1d63</v>
    <v>en-GB</v>
    <v>Map</v>
  </rv>
  <rv s="0">
    <v>536870912</v>
    <v>Brčko District</v>
    <v>b396b6d6-db22-9823-d1e7-7291c204c629</v>
    <v>en-GB</v>
    <v>Map</v>
  </rv>
  <rv s="3">
    <v>9</v>
  </rv>
  <rv s="1">
    <fb>0.204407603558384</fb>
    <v>23</v>
  </rv>
  <rv s="1">
    <fb>0.23699999999999999</fb>
    <v>23</v>
  </rv>
  <rv s="1">
    <fb>0.18424999237060502</fb>
    <v>31</v>
  </rv>
  <rv s="1">
    <fb>1605144</fb>
    <v>24</v>
  </rv>
  <rv s="7">
    <v>#VALUE!</v>
    <v>en-GB</v>
    <v>d4cae21e-b3ba-1c2f-fa55-9c516a522c1b</v>
    <v>536870912</v>
    <v>1</v>
    <v>43</v>
    <v>44</v>
    <v>Bosnia and Herzegovina</v>
    <v>19</v>
    <v>20</v>
    <v>Map</v>
    <v>21</v>
    <v>45</v>
    <v>BA</v>
    <v>153</v>
    <v>154</v>
    <v>155</v>
    <v>156</v>
    <v>157</v>
    <v>158</v>
    <v>159</v>
    <v>160</v>
    <v>161</v>
    <v>BAM</v>
    <v>Bosnia and Herzegovina is a country in Southeast Europe, situated on the Balkan Peninsula. It borders Serbia to the east, Montenegro to the southeast, and Croatia to the north and southwest. In the south it has a 20 kilometres long coast on the ...</v>
    <v>162</v>
    <v>163</v>
    <v>164</v>
    <v>165</v>
    <v>166</v>
    <v>167</v>
    <v>168</v>
    <v>169</v>
    <v>170</v>
    <v>158</v>
    <v>174</v>
    <v>175</v>
    <v>176</v>
    <v>177</v>
    <v>178</v>
    <v>Bosnia and Herzegovina</v>
    <v>National Anthem of Bosnia and Herzegovina</v>
    <v>179</v>
    <v>Bosna i Hercegovina</v>
    <v>180</v>
    <v>181</v>
    <v>182</v>
    <v>91</v>
    <v>183</v>
    <v>33</v>
    <v>184</v>
    <v>35</v>
    <v>185</v>
    <v>186</v>
    <v>187</v>
    <v>191</v>
    <v>192</v>
    <v>193</v>
    <v>194</v>
    <v>Bosnia and Herzegovina</v>
    <v>195</v>
    <v>mdp/vdpid/25</v>
  </rv>
  <rv s="0">
    <v>536870912</v>
    <v>Croatia</v>
    <v>98d53c1a-2e70-ba44-c85e-1e3d4c505723</v>
    <v>en-GB</v>
    <v>Map</v>
  </rv>
  <rv s="1">
    <fb>0.27591136526090099</fb>
    <v>23</v>
  </rv>
  <rv s="1">
    <fb>56594</fb>
    <v>24</v>
  </rv>
  <rv s="1">
    <fb>18000</fb>
    <v>24</v>
  </rv>
  <rv s="1">
    <fb>9</fb>
    <v>25</v>
  </rv>
  <rv s="1">
    <fb>385</fb>
    <v>26</v>
  </rv>
  <rv s="0">
    <v>536870912</v>
    <v>Zagreb</v>
    <v>f11a69f0-4ff4-d971-a3ab-ae1c1274eccc</v>
    <v>en-GB</v>
    <v>Map</v>
  </rv>
  <rv s="1">
    <fb>17487.922999999999</fb>
    <v>24</v>
  </rv>
  <rv s="1">
    <fb>109.815676449535</fb>
    <v>27</v>
  </rv>
  <rv s="1">
    <fb>7.7182034649808298E-3</fb>
    <v>23</v>
  </rv>
  <rv s="1">
    <fb>3714.3829884420702</fb>
    <v>24</v>
  </rv>
  <rv s="1">
    <fb>1.47</fb>
    <v>25</v>
  </rv>
  <rv s="1">
    <fb>0.343531098001083</fb>
    <v>23</v>
  </rv>
  <rv s="1">
    <fb>70.703662342128197</fb>
    <v>28</v>
  </rv>
  <rv s="1">
    <fb>1.26</fb>
    <v>29</v>
  </rv>
  <rv s="1">
    <fb>60415553038.882599</fb>
    <v>30</v>
  </rv>
  <rv s="1">
    <fb>0.96471030000000002</fb>
    <v>23</v>
  </rv>
  <rv s="1">
    <fb>0.67865560000000003</fb>
    <v>23</v>
  </rv>
  <rv s="2">
    <v>3</v>
    <v>21</v>
    <v>47</v>
    <v>7</v>
    <v>0</v>
    <v>Image of Croatia</v>
  </rv>
  <rv s="1">
    <fb>4</fb>
    <v>28</v>
  </rv>
  <rv s="0">
    <v>805306368</v>
    <v>Zoran Milanović (President)</v>
    <v>0772d8e3-22ab-2c3b-e566-9239bc8d53e6</v>
    <v>en-GB</v>
    <v>Generic</v>
  </rv>
  <rv s="0">
    <v>805306368</v>
    <v>Andrej Plenković (Prime minister)</v>
    <v>8636709a-30b6-46b4-8744-abc8c9fe5ff9</v>
    <v>en-GB</v>
    <v>Generic</v>
  </rv>
  <rv s="3">
    <v>10</v>
  </rv>
  <rv s="4">
    <v>https://www.bing.com/search?q=croatia&amp;form=skydnc</v>
    <v>Learn more on Bing</v>
  </rv>
  <rv s="1">
    <fb>78.070731707317094</fb>
    <v>28</v>
  </rv>
  <rv s="1">
    <fb>22458260000</fb>
    <v>30</v>
  </rv>
  <rv s="1">
    <fb>8</fb>
    <v>28</v>
  </rv>
  <rv s="1">
    <fb>2.92</fb>
    <v>29</v>
  </rv>
  <rv s="3">
    <v>11</v>
  </rv>
  <rv s="1">
    <fb>0.15156174140000001</fb>
    <v>23</v>
  </rv>
  <rv s="1">
    <fb>2.9962</fb>
    <v>25</v>
  </rv>
  <rv s="1">
    <fb>3854000</fb>
    <v>24</v>
  </rv>
  <rv s="1">
    <fb>0.379</fb>
    <v>23</v>
  </rv>
  <rv s="1">
    <fb>2.7000000000000003E-2</fb>
    <v>23</v>
  </rv>
  <rv s="1">
    <fb>7.400000000000001E-2</fb>
    <v>23</v>
  </rv>
  <rv s="1">
    <fb>0.13300000000000001</fb>
    <v>23</v>
  </rv>
  <rv s="1">
    <fb>0.18</fb>
    <v>23</v>
  </rv>
  <rv s="1">
    <fb>0.51181999206542994</fb>
    <v>23</v>
  </rv>
  <rv s="0">
    <v>536870912</v>
    <v>Međimurje County</v>
    <v>dc345ff5-f374-076d-1d0f-e1a24cfbb252</v>
    <v>en-GB</v>
    <v>Map</v>
  </rv>
  <rv s="0">
    <v>536870912</v>
    <v>Dubrovnik-Neretva County</v>
    <v>aeed8c4c-de39-d37d-b0d9-e37523f91c47</v>
    <v>en-GB</v>
    <v>Map</v>
  </rv>
  <rv s="0">
    <v>536870912</v>
    <v>Istria County</v>
    <v>0ab1de7c-4cb1-cbce-c3eb-ca81244e251f</v>
    <v>en-GB</v>
    <v>Map</v>
  </rv>
  <rv s="0">
    <v>536870912</v>
    <v>Split-Dalmatia County</v>
    <v>a5c9fc4a-ec53-dc2d-a2db-50aa40fdd54c</v>
    <v>en-GB</v>
    <v>Map</v>
  </rv>
  <rv s="0">
    <v>536870912</v>
    <v>Vukovar-Srijem County</v>
    <v>d2ffeec2-0360-aaa1-c264-281c332c65d7</v>
    <v>en-GB</v>
    <v>Map</v>
  </rv>
  <rv s="0">
    <v>536870912</v>
    <v>Šibenik-Knin County</v>
    <v>9d9e65ec-ec8b-f187-0936-6d654c8cee4e</v>
    <v>en-GB</v>
    <v>Map</v>
  </rv>
  <rv s="0">
    <v>536870912</v>
    <v>Osijek-Baranja County</v>
    <v>14807793-d9c8-613d-6c09-c3a09da2ecd1</v>
    <v>en-GB</v>
    <v>Map</v>
  </rv>
  <rv s="0">
    <v>536870912</v>
    <v>Zadar County</v>
    <v>e66a5144-723b-6aba-3445-b2648a0f3632</v>
    <v>en-GB</v>
    <v>Map</v>
  </rv>
  <rv s="0">
    <v>536870912</v>
    <v>Brod-Posavina County</v>
    <v>77ccafb9-c361-4f38-878e-cdb50de4ac20</v>
    <v>en-GB</v>
    <v>Map</v>
  </rv>
  <rv s="0">
    <v>536870912</v>
    <v>Požega-Slavonia County</v>
    <v>1b9351b8-c66c-5f85-1249-197ef8f9ace2</v>
    <v>en-GB</v>
    <v>Map</v>
  </rv>
  <rv s="0">
    <v>536870912</v>
    <v>Virovitica-Podravina County</v>
    <v>b2e508fb-3c10-113a-db7c-34fd3ec7d5a8</v>
    <v>en-GB</v>
    <v>Map</v>
  </rv>
  <rv s="0">
    <v>536870912</v>
    <v>Lika-Senj County</v>
    <v>e1daeacd-77f1-8d6c-3d6d-b18f1cc43793</v>
    <v>en-GB</v>
    <v>Map</v>
  </rv>
  <rv s="0">
    <v>536870912</v>
    <v>Primorje-Gorski Kotar County</v>
    <v>c270a103-7c7f-57ff-7129-a8b9864b8e93</v>
    <v>en-GB</v>
    <v>Map</v>
  </rv>
  <rv s="0">
    <v>536870912</v>
    <v>Bjelovar-Bilogora County</v>
    <v>9e3fda25-b013-9d58-a13e-b26cc2c11736</v>
    <v>en-GB</v>
    <v>Map</v>
  </rv>
  <rv s="0">
    <v>536870912</v>
    <v>Koprivnica-Križevci County</v>
    <v>24629268-134b-6a42-31c3-7b995167933b</v>
    <v>en-GB</v>
    <v>Map</v>
  </rv>
  <rv s="0">
    <v>536870912</v>
    <v>Varaždin County</v>
    <v>e8b53325-1309-05f5-baf1-5d4648cd44d3</v>
    <v>en-GB</v>
    <v>Map</v>
  </rv>
  <rv s="0">
    <v>536870912</v>
    <v>Karlovac County</v>
    <v>7e360e54-9dea-ca70-625f-dd73fa48da82</v>
    <v>en-GB</v>
    <v>Map</v>
  </rv>
  <rv s="0">
    <v>536870912</v>
    <v>Sisak-Moslavina County</v>
    <v>8dbfcf55-9464-3038-5db3-06d00c62ed50</v>
    <v>en-GB</v>
    <v>Map</v>
  </rv>
  <rv s="0">
    <v>536870912</v>
    <v>Krapina-Zagorje County</v>
    <v>09dfd6fa-edab-6236-5d76-c848770f2467</v>
    <v>en-GB</v>
    <v>Map</v>
  </rv>
  <rv s="0">
    <v>536870912</v>
    <v>Zagreb County</v>
    <v>f17cd992-a68c-3c4e-3365-1058251b4842</v>
    <v>en-GB</v>
    <v>Map</v>
  </rv>
  <rv s="3">
    <v>12</v>
  </rv>
  <rv s="1">
    <fb>0.21963282023161401</fb>
    <v>23</v>
  </rv>
  <rv s="1">
    <fb>0.20499999999999999</fb>
    <v>23</v>
  </rv>
  <rv s="1">
    <fb>6.9349999427795406E-2</fb>
    <v>31</v>
  </rv>
  <rv s="1">
    <fb>2328318</fb>
    <v>24</v>
  </rv>
  <rv s="6">
    <v>#VALUE!</v>
    <v>en-GB</v>
    <v>98d53c1a-2e70-ba44-c85e-1e3d4c505723</v>
    <v>536870912</v>
    <v>1</v>
    <v>50</v>
    <v>37</v>
    <v>Croatia</v>
    <v>19</v>
    <v>20</v>
    <v>Map</v>
    <v>21</v>
    <v>51</v>
    <v>HR</v>
    <v>198</v>
    <v>199</v>
    <v>200</v>
    <v>201</v>
    <v>202</v>
    <v>203</v>
    <v>204</v>
    <v>205</v>
    <v>206</v>
    <v>EUR</v>
    <v>Croatia, officially the Republic of Croatia, is a country located at the crossroads of Central and Southeast Europe. Its coast lies entirely on the Adriatic Sea. It borders Slovenia to the northwest, Hungary to the northeast, Serbia to the east, ...</v>
    <v>207</v>
    <v>208</v>
    <v>209</v>
    <v>210</v>
    <v>211</v>
    <v>212</v>
    <v>213</v>
    <v>214</v>
    <v>215</v>
    <v>216</v>
    <v>203</v>
    <v>219</v>
    <v>220</v>
    <v>221</v>
    <v>222</v>
    <v>223</v>
    <v>224</v>
    <v>Croatia</v>
    <v>Lijepa naša domovino</v>
    <v>225</v>
    <v>Republica Croația</v>
    <v>226</v>
    <v>227</v>
    <v>228</v>
    <v>31</v>
    <v>91</v>
    <v>229</v>
    <v>230</v>
    <v>231</v>
    <v>232</v>
    <v>233</v>
    <v>234</v>
    <v>255</v>
    <v>256</v>
    <v>257</v>
    <v>258</v>
    <v>Croatia</v>
    <v>259</v>
    <v>mdp/vdpid/108</v>
  </rv>
  <rv s="0">
    <v>536870912</v>
    <v>Cyprus</v>
    <v>c0c5ce3c-49b0-5b79-47f3-75ec546e77a5</v>
    <v>en-GB</v>
    <v>Map</v>
  </rv>
  <rv s="1">
    <fb>0.121569266050925</fb>
    <v>23</v>
  </rv>
  <rv s="1">
    <fb>9242.4500000000007</fb>
    <v>24</v>
  </rv>
  <rv s="1">
    <fb>16000</fb>
    <v>24</v>
  </rv>
  <rv s="1">
    <fb>10.462</fb>
    <v>25</v>
  </rv>
  <rv s="1">
    <fb>357</fb>
    <v>26</v>
  </rv>
  <rv s="0">
    <v>536870912</v>
    <v>Nicosia</v>
    <v>61465f46-935f-6345-e2b2-faf594f2eb3f</v>
    <v>en-GB</v>
    <v>Map</v>
  </rv>
  <rv s="1">
    <fb>6626.2690000000002</fb>
    <v>24</v>
  </rv>
  <rv s="1">
    <fb>102.51099191728299</fb>
    <v>27</v>
  </rv>
  <rv s="1">
    <fb>2.5037099675845596E-3</fb>
    <v>23</v>
  </rv>
  <rv s="1">
    <fb>3624.9712527716702</fb>
    <v>24</v>
  </rv>
  <rv s="1">
    <fb>1.329</fb>
    <v>25</v>
  </rv>
  <rv s="1">
    <fb>0.18687229239063299</fb>
    <v>23</v>
  </rv>
  <rv s="1">
    <fb>92.906215026032797</fb>
    <v>28</v>
  </rv>
  <rv s="1">
    <fb>1.23</fb>
    <v>29</v>
  </rv>
  <rv s="1">
    <fb>24564647934.624401</fb>
    <v>30</v>
  </rv>
  <rv s="1">
    <fb>0.99306690000000009</fb>
    <v>23</v>
  </rv>
  <rv s="1">
    <fb>0.75940810000000003</fb>
    <v>23</v>
  </rv>
  <rv s="2">
    <v>4</v>
    <v>21</v>
    <v>53</v>
    <v>7</v>
    <v>0</v>
    <v>Image of Cyprus</v>
  </rv>
  <rv s="1">
    <fb>1.9</fb>
    <v>28</v>
  </rv>
  <rv s="0">
    <v>805306368</v>
    <v>Nikos Christodoulides (President)</v>
    <v>dcc57869-eb45-8766-d14f-1e2e824914b7</v>
    <v>en-GB</v>
    <v>Generic</v>
  </rv>
  <rv s="3">
    <v>13</v>
  </rv>
  <rv s="4">
    <v>https://www.bing.com/search?q=cyprus&amp;form=skydnc</v>
    <v>Learn more on Bing</v>
  </rv>
  <rv s="1">
    <fb>80.828000000000003</fb>
    <v>28</v>
  </rv>
  <rv s="1">
    <fb>4284870000</fb>
    <v>30</v>
  </rv>
  <rv s="1">
    <fb>6</fb>
    <v>28</v>
  </rv>
  <rv s="3">
    <v>14</v>
  </rv>
  <rv s="1">
    <fb>0.43886795519999999</fb>
    <v>23</v>
  </rv>
  <rv s="1">
    <fb>1.9509000000000001</fb>
    <v>25</v>
  </rv>
  <rv s="1">
    <fb>1251488</fb>
    <v>24</v>
  </rv>
  <rv s="1">
    <fb>0.21899999999999997</fb>
    <v>23</v>
  </rv>
  <rv s="1">
    <fb>0.255</fb>
    <v>23</v>
  </rv>
  <rv s="1">
    <fb>0.40200000000000002</fb>
    <v>23</v>
  </rv>
  <rv s="1">
    <fb>3.4000000000000002E-2</fb>
    <v>23</v>
  </rv>
  <rv s="1">
    <fb>8.4000000000000005E-2</fb>
    <v>23</v>
  </rv>
  <rv s="1">
    <fb>0.129</fb>
    <v>23</v>
  </rv>
  <rv s="1">
    <fb>0.63058998107910202</fb>
    <v>23</v>
  </rv>
  <rv s="0">
    <v>536870912</v>
    <v>Famagusta District</v>
    <v>fa2bfc84-87f2-72de-997e-21b14b8b160c</v>
    <v>en-GB</v>
    <v>Map</v>
  </rv>
  <rv s="0">
    <v>536870912</v>
    <v>Kyrenia District</v>
    <v>e8b8a1c2-16a7-5f3c-2602-a1185d56c861</v>
    <v>en-GB</v>
    <v>Map</v>
  </rv>
  <rv s="0">
    <v>536870912</v>
    <v>Larnaca District</v>
    <v>7f5d1488-4f34-efb3-2f5e-2bfda6d7ff73</v>
    <v>en-GB</v>
    <v>Map</v>
  </rv>
  <rv s="0">
    <v>536870912</v>
    <v>Limassol District</v>
    <v>1e4f6fc0-ec2d-5e17-d500-ea3e15018cec</v>
    <v>en-GB</v>
    <v>Map</v>
  </rv>
  <rv s="0">
    <v>536870912</v>
    <v>Nicosia District</v>
    <v>b8e80404-6981-51e6-04bc-3ea15f66c9d4</v>
    <v>en-GB</v>
    <v>Map</v>
  </rv>
  <rv s="0">
    <v>536870912</v>
    <v>Paphos District</v>
    <v>cb1e4e34-f579-017b-139b-938e8ef8d979</v>
    <v>en-GB</v>
    <v>Map</v>
  </rv>
  <rv s="3">
    <v>15</v>
  </rv>
  <rv s="1">
    <fb>0.24496028871097303</fb>
    <v>23</v>
  </rv>
  <rv s="1">
    <fb>0.22399999999999998</fb>
    <v>23</v>
  </rv>
  <rv s="1">
    <fb>7.2740001678466795E-2</fb>
    <v>31</v>
  </rv>
  <rv s="1">
    <fb>800708</fb>
    <v>24</v>
  </rv>
  <rv s="8">
    <v>#VALUE!</v>
    <v>en-GB</v>
    <v>c0c5ce3c-49b0-5b79-47f3-75ec546e77a5</v>
    <v>536870912</v>
    <v>1</v>
    <v>56</v>
    <v>57</v>
    <v>Cyprus</v>
    <v>19</v>
    <v>20</v>
    <v>Map</v>
    <v>21</v>
    <v>51</v>
    <v>CY</v>
    <v>262</v>
    <v>263</v>
    <v>264</v>
    <v>265</v>
    <v>266</v>
    <v>267</v>
    <v>268</v>
    <v>269</v>
    <v>270</v>
    <v>EUR</v>
    <v>Cyprus, officially the Republic of Cyprus, is an island country located in the eastern Mediterranean Sea, north of the Sinai Peninsula, south of the Anatolian Peninsula, and west of the Levant. It is geographically a part of West Asia, but its ...</v>
    <v>271</v>
    <v>272</v>
    <v>273</v>
    <v>274</v>
    <v>275</v>
    <v>276</v>
    <v>277</v>
    <v>278</v>
    <v>279</v>
    <v>280</v>
    <v>267</v>
    <v>282</v>
    <v>283</v>
    <v>284</v>
    <v>285</v>
    <v>286</v>
    <v>Cyprus</v>
    <v>Hymn to Liberty</v>
    <v>287</v>
    <v>Kıbrıs Cumhuriyeti</v>
    <v>288</v>
    <v>289</v>
    <v>290</v>
    <v>291</v>
    <v>292</v>
    <v>293</v>
    <v>294</v>
    <v>295</v>
    <v>296</v>
    <v>186</v>
    <v>297</v>
    <v>304</v>
    <v>305</v>
    <v>306</v>
    <v>307</v>
    <v>Cyprus</v>
    <v>308</v>
    <v>mdp/vdpid/59</v>
  </rv>
  <rv s="0">
    <v>536870912</v>
    <v>Egypt</v>
    <v>7af820a7-1c8d-f12a-0ca9-87e192e82cee</v>
    <v>en-GB</v>
    <v>Map</v>
  </rv>
  <rv s="1">
    <fb>3.75083632480913E-2</fb>
    <v>23</v>
  </rv>
  <rv s="1">
    <fb>1010407.87</fb>
    <v>24</v>
  </rv>
  <rv s="1">
    <fb>836000</fb>
    <v>24</v>
  </rv>
  <rv s="1">
    <fb>26.379000000000001</fb>
    <v>25</v>
  </rv>
  <rv s="1">
    <fb>20</fb>
    <v>26</v>
  </rv>
  <rv s="0">
    <v>536870912</v>
    <v>Cairo</v>
    <v>f339e71b-dff6-f428-3624-c707f5baa04c</v>
    <v>en-GB</v>
    <v>Map</v>
  </rv>
  <rv s="1">
    <fb>238560.35200000001</fb>
    <v>24</v>
  </rv>
  <rv s="1">
    <fb>288.56670071116298</fb>
    <v>27</v>
  </rv>
  <rv s="1">
    <fb>9.1505022263158792E-2</fb>
    <v>23</v>
  </rv>
  <rv s="1">
    <fb>1683.2135182955701</fb>
    <v>24</v>
  </rv>
  <rv s="1">
    <fb>3.3260000000000001</fb>
    <v>25</v>
  </rv>
  <rv s="1">
    <fb>7.3936409135688501E-4</fb>
    <v>23</v>
  </rv>
  <rv s="1">
    <fb>97.928929787843501</fb>
    <v>28</v>
  </rv>
  <rv s="1">
    <fb>0.4</fb>
    <v>29</v>
  </rv>
  <rv s="1">
    <fb>303175127597.521</fb>
    <v>30</v>
  </rv>
  <rv s="1">
    <fb>1.0628493000000001</fb>
    <v>23</v>
  </rv>
  <rv s="1">
    <fb>0.35164520000000005</fb>
    <v>23</v>
  </rv>
  <rv s="2">
    <v>5</v>
    <v>21</v>
    <v>59</v>
    <v>7</v>
    <v>0</v>
    <v>Image of Egypt</v>
  </rv>
  <rv s="1">
    <fb>18.100000000000001</fb>
    <v>28</v>
  </rv>
  <rv s="0">
    <v>805306368</v>
    <v>Abdel Fattah el-Sisi (President)</v>
    <v>bd682cfc-4153-2740-55a8-5092e9ac12e6</v>
    <v>en-GB</v>
    <v>Generic</v>
  </rv>
  <rv s="0">
    <v>805306368</v>
    <v>Mostafa Madbouly (Prime minister)</v>
    <v>20dec001-59cb-3582-f4b1-c36057f3c8dd</v>
    <v>en-GB</v>
    <v>Generic</v>
  </rv>
  <rv s="3">
    <v>16</v>
  </rv>
  <rv s="4">
    <v>https://www.bing.com/search?q=egypt&amp;form=skydnc</v>
    <v>Learn more on Bing</v>
  </rv>
  <rv s="1">
    <fb>71.825000000000003</fb>
    <v>28</v>
  </rv>
  <rv s="1">
    <fb>44199850000</fb>
    <v>30</v>
  </rv>
  <rv s="1">
    <fb>37</fb>
    <v>28</v>
  </rv>
  <rv s="3">
    <v>17</v>
  </rv>
  <rv s="1">
    <fb>0.61958965460000004</fb>
    <v>23</v>
  </rv>
  <rv s="1">
    <fb>0.4521</fb>
    <v>25</v>
  </rv>
  <rv s="1">
    <fb>110990103</fb>
    <v>24</v>
  </rv>
  <rv s="1">
    <fb>0.21</fb>
    <v>23</v>
  </rv>
  <rv s="1">
    <fb>0.26899999999999996</fb>
    <v>23</v>
  </rv>
  <rv s="1">
    <fb>0.41</fb>
    <v>23</v>
  </rv>
  <rv s="1">
    <fb>3.7999999999999999E-2</fb>
    <v>23</v>
  </rv>
  <rv s="1">
    <fb>0.09</fb>
    <v>23</v>
  </rv>
  <rv s="1">
    <fb>0.128</fb>
    <v>23</v>
  </rv>
  <rv s="1">
    <fb>0.16200000000000001</fb>
    <v>23</v>
  </rv>
  <rv s="1">
    <fb>0.46412998199462896</fb>
    <v>23</v>
  </rv>
  <rv s="0">
    <v>536870912</v>
    <v>Alexandria Governorate</v>
    <v>8003181b-e7bf-ddf4-a199-71a05b6ade79</v>
    <v>en-GB</v>
    <v>Map</v>
  </rv>
  <rv s="0">
    <v>536870912</v>
    <v>Aswan Governorate</v>
    <v>511db9d8-aac1-9ab1-13bb-6138eb5616c4</v>
    <v>en-GB</v>
    <v>Map</v>
  </rv>
  <rv s="0">
    <v>536870912</v>
    <v>Asyut Governorate</v>
    <v>38276c64-ea7a-410d-24b7-64beb756024c</v>
    <v>en-GB</v>
    <v>Map</v>
  </rv>
  <rv s="0">
    <v>536870912</v>
    <v>Beheira Governorate</v>
    <v>cb4090bf-d2f8-2204-d585-476d3df37a8f</v>
    <v>en-GB</v>
    <v>Map</v>
  </rv>
  <rv s="0">
    <v>536870912</v>
    <v>Beni Suef Governorate</v>
    <v>badcf7b4-a9e2-5517-1bdd-c780c2f26c72</v>
    <v>en-GB</v>
    <v>Map</v>
  </rv>
  <rv s="0">
    <v>536870912</v>
    <v>Cairo Governorate</v>
    <v>40d749c0-d713-814e-ef3c-7915083a10e8</v>
    <v>en-GB</v>
    <v>Map</v>
  </rv>
  <rv s="0">
    <v>536870912</v>
    <v>Dakahlia Governorate</v>
    <v>fdeeb0b3-047e-b574-74e0-f88c2d7a040c</v>
    <v>en-GB</v>
    <v>Map</v>
  </rv>
  <rv s="0">
    <v>536870912</v>
    <v>Damietta Governorate</v>
    <v>752a9b04-16cc-3931-5ca2-fb0e1925be23</v>
    <v>en-GB</v>
    <v>Map</v>
  </rv>
  <rv s="0">
    <v>536870912</v>
    <v>Faiyum Governorate</v>
    <v>eb26f94e-2766-c3d3-35f4-50cb2eb0ce55</v>
    <v>en-GB</v>
    <v>Map</v>
  </rv>
  <rv s="0">
    <v>536870912</v>
    <v>Gharbia Governorate</v>
    <v>539d1f2a-e56b-981b-b68c-d4ff7d3279a2</v>
    <v>en-GB</v>
    <v>Map</v>
  </rv>
  <rv s="0">
    <v>536870912</v>
    <v>Giza Governorate</v>
    <v>23a0d5e0-99dd-b522-e54d-b11659fab6ca</v>
    <v>en-GB</v>
    <v>Map</v>
  </rv>
  <rv s="0">
    <v>536870912</v>
    <v>Ismailia Governorate</v>
    <v>cdc25da2-596e-d166-dd41-c8036a65ade5</v>
    <v>en-GB</v>
    <v>Map</v>
  </rv>
  <rv s="0">
    <v>536870912</v>
    <v>Kafr El Sheikh Governorate</v>
    <v>308b3991-f02f-c6c6-b267-441ab51f1699</v>
    <v>en-GB</v>
    <v>Map</v>
  </rv>
  <rv s="0">
    <v>536870912</v>
    <v>Matrouh Governorate</v>
    <v>f74dd9b0-23df-6191-1303-3b2ba17dc003</v>
    <v>en-GB</v>
    <v>Map</v>
  </rv>
  <rv s="0">
    <v>536870912</v>
    <v>Minya Governorate</v>
    <v>e95f5f87-062b-7638-1248-4a3562370238</v>
    <v>en-GB</v>
    <v>Map</v>
  </rv>
  <rv s="0">
    <v>536870912</v>
    <v>Monufia Governorate</v>
    <v>3708df96-eaa0-3c11-f327-c95a8d7a76d1</v>
    <v>en-GB</v>
    <v>Map</v>
  </rv>
  <rv s="0">
    <v>536870912</v>
    <v>New Valley Governorate</v>
    <v>37340c74-0dd0-16d1-be47-975ac31f8ea1</v>
    <v>en-GB</v>
    <v>Map</v>
  </rv>
  <rv s="0">
    <v>536870912</v>
    <v>North Sinai Governorate</v>
    <v>094f5c93-c38c-43cc-3c97-af2da0fb59d5</v>
    <v>en-GB</v>
    <v>Map</v>
  </rv>
  <rv s="0">
    <v>536870912</v>
    <v>Port Said Governorate</v>
    <v>103ea99c-5f99-dc51-ef52-6b804e4d5070</v>
    <v>en-GB</v>
    <v>Map</v>
  </rv>
  <rv s="0">
    <v>536870912</v>
    <v>Qalyubia Governorate</v>
    <v>5da2d5de-8ce0-0ea6-1d83-c5eba8c9ec46</v>
    <v>en-GB</v>
    <v>Map</v>
  </rv>
  <rv s="0">
    <v>536870912</v>
    <v>Qena Governorate</v>
    <v>13bc95f2-9ce1-a4be-cde3-26eb1e242951</v>
    <v>en-GB</v>
    <v>Map</v>
  </rv>
  <rv s="0">
    <v>536870912</v>
    <v>Red Sea Governorate</v>
    <v>e9f5f47b-c7d2-72b7-9cdd-3b8e16d774b4</v>
    <v>en-GB</v>
    <v>Map</v>
  </rv>
  <rv s="0">
    <v>536870912</v>
    <v>Sharqia Governorate</v>
    <v>1bccb0aa-521d-f0af-c496-d67e43635dba</v>
    <v>en-GB</v>
    <v>Map</v>
  </rv>
  <rv s="0">
    <v>536870912</v>
    <v>Sohag Governorate</v>
    <v>d302a61c-56d1-2127-6b4b-811b992d8f35</v>
    <v>en-GB</v>
    <v>Map</v>
  </rv>
  <rv s="0">
    <v>536870912</v>
    <v>South Sinai Governorate</v>
    <v>efb866ef-8727-ced5-9a50-36d860c1201e</v>
    <v>en-GB</v>
    <v>Map</v>
  </rv>
  <rv s="0">
    <v>536870912</v>
    <v>Suez Governorate</v>
    <v>c4378354-0b78-e7be-8a8b-ebee69155c12</v>
    <v>en-GB</v>
    <v>Map</v>
  </rv>
  <rv s="0">
    <v>536870912</v>
    <v>Luxor Governorate</v>
    <v>94700196-ca2a-7d87-d77b-cc43f44dfc99</v>
    <v>en-GB</v>
    <v>Map</v>
  </rv>
  <rv s="3">
    <v>18</v>
  </rv>
  <rv s="1">
    <fb>0.12519211097017099</fb>
    <v>23</v>
  </rv>
  <rv s="1">
    <fb>0.44400000000000001</fb>
    <v>23</v>
  </rv>
  <rv s="1">
    <fb>0.107600002288818</fb>
    <v>31</v>
  </rv>
  <rv s="1">
    <fb>42895824</fb>
    <v>24</v>
  </rv>
  <rv s="8">
    <v>#VALUE!</v>
    <v>en-GB</v>
    <v>7af820a7-1c8d-f12a-0ca9-87e192e82cee</v>
    <v>536870912</v>
    <v>1</v>
    <v>62</v>
    <v>57</v>
    <v>Egypt</v>
    <v>19</v>
    <v>20</v>
    <v>Map</v>
    <v>21</v>
    <v>63</v>
    <v>EG</v>
    <v>311</v>
    <v>312</v>
    <v>313</v>
    <v>314</v>
    <v>315</v>
    <v>316</v>
    <v>317</v>
    <v>318</v>
    <v>319</v>
    <v>EGP</v>
    <v>Egypt, officially the Arab Republic of Egypt, is a transcontinental country spanning the northeast corner of Africa and the Sinai Peninsula in the southwest corner of Asia. It is bordered by the Mediterranean Sea to the north, the Gaza Strip of ...</v>
    <v>320</v>
    <v>321</v>
    <v>322</v>
    <v>323</v>
    <v>324</v>
    <v>325</v>
    <v>326</v>
    <v>327</v>
    <v>328</v>
    <v>329</v>
    <v>316</v>
    <v>332</v>
    <v>333</v>
    <v>334</v>
    <v>335</v>
    <v>336</v>
    <v>Egypt</v>
    <v>Bilady, Bilady, Bilady</v>
    <v>337</v>
    <v>جُمهورِيّةُ مِصرَ العَرَبيّةِ</v>
    <v>338</v>
    <v>339</v>
    <v>340</v>
    <v>341</v>
    <v>342</v>
    <v>343</v>
    <v>344</v>
    <v>345</v>
    <v>346</v>
    <v>347</v>
    <v>348</v>
    <v>376</v>
    <v>377</v>
    <v>378</v>
    <v>379</v>
    <v>Egypt</v>
    <v>380</v>
    <v>mdp/vdpid/67</v>
  </rv>
  <rv s="0">
    <v>536870912</v>
    <v>France</v>
    <v>c7bfe2de-4f82-e23c-ae42-8544b5b5c0ea</v>
    <v>en-GB</v>
    <v>Map</v>
  </rv>
  <rv s="1">
    <fb>0.524475441661716</fb>
    <v>23</v>
  </rv>
  <rv s="1">
    <fb>643801</fb>
    <v>24</v>
  </rv>
  <rv s="1">
    <fb>307000</fb>
    <v>24</v>
  </rv>
  <rv s="1">
    <fb>11.3</fb>
    <v>25</v>
  </rv>
  <rv s="1">
    <fb>33</fb>
    <v>26</v>
  </rv>
  <rv s="0">
    <v>536870912</v>
    <v>Paris</v>
    <v>85584d24-2116-5b98-89f9-5714db931ac6</v>
    <v>en-GB</v>
    <v>Map</v>
  </rv>
  <rv s="1">
    <fb>303275.56800000003</fb>
    <v>24</v>
  </rv>
  <rv s="1">
    <fb>110.04856675289</fb>
    <v>27</v>
  </rv>
  <rv s="1">
    <fb>1.1082549228829199E-2</fb>
    <v>23</v>
  </rv>
  <rv s="1">
    <fb>6939.5214736692897</fb>
    <v>24</v>
  </rv>
  <rv s="1">
    <fb>1.88</fb>
    <v>25</v>
  </rv>
  <rv s="1">
    <fb>0.31233278442262596</fb>
    <v>23</v>
  </rv>
  <rv s="1">
    <fb>46.487970872236403</fb>
    <v>28</v>
  </rv>
  <rv s="1">
    <fb>1.39</fb>
    <v>29</v>
  </rv>
  <rv s="1">
    <fb>2715518274227.4502</fb>
    <v>30</v>
  </rv>
  <rv s="1">
    <fb>1.0251076000000001</fb>
    <v>23</v>
  </rv>
  <rv s="1">
    <fb>0.65629000000000004</fb>
    <v>23</v>
  </rv>
  <rv s="2">
    <v>6</v>
    <v>21</v>
    <v>65</v>
    <v>7</v>
    <v>0</v>
    <v>Image of France</v>
  </rv>
  <rv s="1">
    <fb>3.4</fb>
    <v>28</v>
  </rv>
  <rv s="0">
    <v>805306368</v>
    <v>Emmanuel Macron (President)</v>
    <v>35be5a56-7a78-6352-b158-60da8f84c858</v>
    <v>en-GB</v>
    <v>Generic</v>
  </rv>
  <rv s="0">
    <v>805306368</v>
    <v>Gabriel Attal (Prime minister)</v>
    <v>5f0b8fd1-c77a-cffd-ddee-9a5bbf7b40cf</v>
    <v>en-GB</v>
    <v>Generic</v>
  </rv>
  <rv s="3">
    <v>19</v>
  </rv>
  <rv s="4">
    <v>https://www.bing.com/search?q=france&amp;form=skydnc</v>
    <v>Learn more on Bing</v>
  </rv>
  <rv s="1">
    <fb>82.526829268292701</fb>
    <v>28</v>
  </rv>
  <rv s="1">
    <fb>2365950236659.3599</fb>
    <v>30</v>
  </rv>
  <rv s="1">
    <fb>11.16</fb>
    <v>29</v>
  </rv>
  <rv s="3">
    <v>20</v>
  </rv>
  <rv s="1">
    <fb>6.7968269799999995E-2</fb>
    <v>23</v>
  </rv>
  <rv s="1">
    <fb>3.2671999999999999</fb>
    <v>25</v>
  </rv>
  <rv s="1">
    <fb>67935660</fb>
    <v>24</v>
  </rv>
  <rv s="1">
    <fb>0.25800000000000001</fb>
    <v>23</v>
  </rv>
  <rv s="1">
    <fb>0.4</fb>
    <v>23</v>
  </rv>
  <rv s="1">
    <fb>3.2000000000000001E-2</fb>
    <v>23</v>
  </rv>
  <rv s="1">
    <fb>8.1000000000000003E-2</fb>
    <v>23</v>
  </rv>
  <rv s="1">
    <fb>0.13</fb>
    <v>23</v>
  </rv>
  <rv s="1">
    <fb>0.16899999999999998</fb>
    <v>23</v>
  </rv>
  <rv s="1">
    <fb>0.55125999450683605</fb>
    <v>23</v>
  </rv>
  <rv s="0">
    <v>536870912</v>
    <v>Brittany</v>
    <v>809fb739-638d-2499-95bd-c8e5b10153ee</v>
    <v>en-GB</v>
    <v>Map</v>
  </rv>
  <rv s="0">
    <v>536870912</v>
    <v>Centre-Val de Loire</v>
    <v>6aafd8c4-aba3-0388-62a3-d302e77f40c4</v>
    <v>en-GB</v>
    <v>Map</v>
  </rv>
  <rv s="0">
    <v>536870912</v>
    <v>Corsica</v>
    <v>7dae6ff4-03ba-2162-da4b-d4cf544ad43f</v>
    <v>en-GB</v>
    <v>Map</v>
  </rv>
  <rv s="0">
    <v>536870912</v>
    <v>Île-de-France</v>
    <v>ba200862-fc37-6d22-3434-c6e709faa507</v>
    <v>en-GB</v>
    <v>Map</v>
  </rv>
  <rv s="0">
    <v>536870912</v>
    <v>Pays de la Loire</v>
    <v>a6129a88-a4cd-2b75-1a35-f5d0639f17ae</v>
    <v>en-GB</v>
    <v>Map</v>
  </rv>
  <rv s="0">
    <v>536870912</v>
    <v>Provence-Alpes-Côte d'Azur</v>
    <v>66cd1ae3-f633-45f9-93bd-73ca67bffb25</v>
    <v>en-GB</v>
    <v>Map</v>
  </rv>
  <rv s="0">
    <v>536870912</v>
    <v>Guadeloupe</v>
    <v>56b80aaa-d840-1a73-13ba-70eb9b61a642</v>
    <v>en-GB</v>
    <v>Map</v>
  </rv>
  <rv s="0">
    <v>536870912</v>
    <v>French Guiana</v>
    <v>328feb88-20d1-8674-1574-3ce8cc0bc9e9</v>
    <v>en-GB</v>
    <v>Map</v>
  </rv>
  <rv s="0">
    <v>536870912</v>
    <v>Martinique</v>
    <v>f245adef-ee09-9352-e265-2a287e5eadbe</v>
    <v>en-GB</v>
    <v>Map</v>
  </rv>
  <rv s="0">
    <v>536870912</v>
    <v>Mayotte</v>
    <v>545cc8bc-c211-076d-ee26-d2ff955eb394</v>
    <v>en-GB</v>
    <v>Map</v>
  </rv>
  <rv s="0">
    <v>536870912</v>
    <v>Réunion</v>
    <v>7d1fa0b0-e3d7-d903-d64d-489c03fd0a75</v>
    <v>en-GB</v>
    <v>Map</v>
  </rv>
  <rv s="0">
    <v>536870912</v>
    <v>French Polynesia</v>
    <v>340e15d5-6b74-8497-bbfa-4c1f323f5483</v>
    <v>en-GB</v>
    <v>Map</v>
  </rv>
  <rv s="0">
    <v>536870912</v>
    <v>French Southern and Antarctic Lands</v>
    <v>b9d52319-44ee-bf16-d95f-72397f26ce4a</v>
    <v>en-GB</v>
    <v>Map</v>
  </rv>
  <rv s="0">
    <v>536870912</v>
    <v>New Caledonia</v>
    <v>25b2aeab-b390-d01e-1f7f-90be767bd899</v>
    <v>en-GB</v>
    <v>Map</v>
  </rv>
  <rv s="0">
    <v>536870912</v>
    <v>Saint Barthélemy</v>
    <v>5c5081a9-306e-4f05-73a2-32b95a4b8600</v>
    <v>en-GB</v>
    <v>Map</v>
  </rv>
  <rv s="0">
    <v>536870912</v>
    <v>Collectivity of Saint Martin</v>
    <v>281a8fb2-1b63-4320-5d31-8f0fb46c4f1a</v>
    <v>en-GB</v>
    <v>Map</v>
  </rv>
  <rv s="0">
    <v>536870912</v>
    <v>Saint Pierre and Miquelon</v>
    <v>aa096cf4-a54e-cd44-7204-c28310ca40f4</v>
    <v>en-GB</v>
    <v>Map</v>
  </rv>
  <rv s="0">
    <v>536870912</v>
    <v>Wallis and Futuna</v>
    <v>db8aa235-58e4-9e3d-8799-6839f3d35025</v>
    <v>en-GB</v>
    <v>Map</v>
  </rv>
  <rv s="0">
    <v>536870912</v>
    <v>Grand Est</v>
    <v>e2f60e84-1701-6d84-e960-ba87138e3631</v>
    <v>en-GB</v>
    <v>Map</v>
  </rv>
  <rv s="0">
    <v>536870912</v>
    <v>New Aquitaine</v>
    <v>7955f423-af31-d2e0-f045-b14668178865</v>
    <v>en-GB</v>
    <v>Map</v>
  </rv>
  <rv s="0">
    <v>536870912</v>
    <v>Auvergne-Rhône-Alpes</v>
    <v>b53940d0-b739-faf5-78d1-93f189f878c9</v>
    <v>en-GB</v>
    <v>Map</v>
  </rv>
  <rv s="0">
    <v>536870912</v>
    <v>Bourgogne-Franche-Comté</v>
    <v>4bc8dff1-8d72-5341-f405-63c7be8c6672</v>
    <v>en-GB</v>
    <v>Map</v>
  </rv>
  <rv s="0">
    <v>536870912</v>
    <v>Occitania</v>
    <v>5105d172-dc70-689f-09ab-4163a747508a</v>
    <v>en-GB</v>
    <v>Map</v>
  </rv>
  <rv s="0">
    <v>536870912</v>
    <v>Hauts-de-France</v>
    <v>4eb2d0b0-8845-48d0-9343-9ba3e7fe81a0</v>
    <v>en-GB</v>
    <v>Map</v>
  </rv>
  <rv s="0">
    <v>536870912</v>
    <v>Clipperton Island</v>
    <v>15fb63fc-f501-7360-7d44-f26d1501209e</v>
    <v>en-GB</v>
    <v>Map</v>
  </rv>
  <rv s="3">
    <v>21</v>
  </rv>
  <rv s="1">
    <fb>0.24229980509910898</fb>
    <v>23</v>
  </rv>
  <rv s="1">
    <fb>0.60699999999999998</fb>
    <v>23</v>
  </rv>
  <rv s="1">
    <fb>8.4270000457763714E-2</fb>
    <v>31</v>
  </rv>
  <rv s="1">
    <fb>54123364</fb>
    <v>24</v>
  </rv>
  <rv s="9">
    <v>#VALUE!</v>
    <v>en-GB</v>
    <v>c7bfe2de-4f82-e23c-ae42-8544b5b5c0ea</v>
    <v>536870912</v>
    <v>1</v>
    <v>68</v>
    <v>69</v>
    <v>France</v>
    <v>19</v>
    <v>20</v>
    <v>Map</v>
    <v>21</v>
    <v>70</v>
    <v>FR</v>
    <v>383</v>
    <v>384</v>
    <v>385</v>
    <v>386</v>
    <v>387</v>
    <v>388</v>
    <v>389</v>
    <v>390</v>
    <v>391</v>
    <v>EUR</v>
    <v>France, officially the French Republic, is a country located primarily in Western Europe. It also includes overseas regions and territories in the Americas and the Atlantic, Pacific and Indian oceans, giving it one of the largest discontiguous ...</v>
    <v>392</v>
    <v>393</v>
    <v>394</v>
    <v>395</v>
    <v>396</v>
    <v>397</v>
    <v>398</v>
    <v>399</v>
    <v>400</v>
    <v>401</v>
    <v>388</v>
    <v>404</v>
    <v>405</v>
    <v>406</v>
    <v>407</v>
    <v>223</v>
    <v>408</v>
    <v>France</v>
    <v>La Marseillaise</v>
    <v>409</v>
    <v>République française</v>
    <v>410</v>
    <v>411</v>
    <v>412</v>
    <v>291</v>
    <v>413</v>
    <v>414</v>
    <v>415</v>
    <v>416</v>
    <v>417</v>
    <v>418</v>
    <v>419</v>
    <v>445</v>
    <v>446</v>
    <v>53</v>
    <v>447</v>
    <v>448</v>
    <v>France</v>
    <v>449</v>
    <v>mdp/vdpid/84</v>
  </rv>
  <rv s="0">
    <v>536870912</v>
    <v>Gibraltar</v>
    <v>a82cacb4-52f7-b1e2-a633-a3dcf16697a3</v>
    <v>en-GB</v>
    <v>Map</v>
  </rv>
  <rv s="1">
    <fb>6.843</fb>
    <v>24</v>
  </rv>
  <rv s="1">
    <fb>350</fb>
    <v>26</v>
  </rv>
  <rv s="0">
    <v>536870912</v>
    <v>Westside</v>
    <v>38e31147-7868-94e6-16d7-e76b4e52040f</v>
    <v>en-GB</v>
    <v>Map</v>
  </rv>
  <rv s="1">
    <fb>1066000000</fb>
    <v>30</v>
  </rv>
  <rv s="2">
    <v>7</v>
    <v>21</v>
    <v>72</v>
    <v>7</v>
    <v>0</v>
    <v>Image of Gibraltar</v>
  </rv>
  <rv s="0">
    <v>805306368</v>
    <v>Charles III (Monarch)</v>
    <v>afc6f6a9-5b55-9178-3e6f-2c8b6d16ee9c</v>
    <v>en-GB</v>
    <v>Generic</v>
  </rv>
  <rv s="0">
    <v>805306368</v>
    <v>David Steel (Governor)</v>
    <v>0a8ff512-10ba-4d36-9bc3-4a084e5353cf</v>
    <v>en-GB</v>
    <v>Generic</v>
  </rv>
  <rv s="0">
    <v>805306368</v>
    <v>Fabian Picardo (Chief minister)</v>
    <v>0373f45c-6aa1-af85-b72e-e5cc6a23f2f9</v>
    <v>en-GB</v>
    <v>Generic</v>
  </rv>
  <rv s="0">
    <v>805306368</v>
    <v>Carmen Gomez (Mayor)</v>
    <v>e1a1b146-1eb9-3e7e-bda4-69f46b336d3f</v>
    <v>en-GB</v>
    <v>Generic</v>
  </rv>
  <rv s="3">
    <v>22</v>
  </rv>
  <rv s="4">
    <v>https://www.bing.com/search?q=gibraltar&amp;form=skydnc</v>
    <v>Learn more on Bing</v>
  </rv>
  <rv s="3">
    <v>23</v>
  </rv>
  <rv s="1">
    <fb>32649</fb>
    <v>24</v>
  </rv>
  <rv s="10">
    <v>#VALUE!</v>
    <v>en-GB</v>
    <v>a82cacb4-52f7-b1e2-a633-a3dcf16697a3</v>
    <v>536870912</v>
    <v>1</v>
    <v>73</v>
    <v>74</v>
    <v>Gibraltar</v>
    <v>19</v>
    <v>20</v>
    <v>Map</v>
    <v>21</v>
    <v>75</v>
    <v>GI</v>
    <v>452</v>
    <v>453</v>
    <v>454</v>
    <v>GIP</v>
    <v>Gibraltar is a British Overseas Territory and city located at the southern tip of the Iberian Peninsula. It has an area of 6.7 km² and is bordered to the north by Spain. The landscape is dominated by the Rock of Gibraltar, at the foot of which ...</v>
    <v>455</v>
    <v>456</v>
    <v>454</v>
    <v>461</v>
    <v>462</v>
    <v>Gibraltar</v>
    <v>God Save the King</v>
    <v>463</v>
    <v>Gibraltar</v>
    <v>464</v>
    <v>53</v>
    <v>Gibraltar</v>
    <v>mdp/vdpid/90</v>
  </rv>
  <rv s="0">
    <v>536870912</v>
    <v>Greece</v>
    <v>9066947b-ad82-49f5-93ff-b3c4cbc4e36a</v>
    <v>en-GB</v>
    <v>Map</v>
  </rv>
  <rv s="1">
    <fb>0.47602792862684301</fb>
    <v>23</v>
  </rv>
  <rv s="1">
    <fb>131957</fb>
    <v>24</v>
  </rv>
  <rv s="1">
    <fb>146000</fb>
    <v>24</v>
  </rv>
  <rv s="1">
    <fb>8.1</fb>
    <v>25</v>
  </rv>
  <rv s="1">
    <fb>30</fb>
    <v>26</v>
  </rv>
  <rv s="0">
    <v>536870912</v>
    <v>Athens</v>
    <v>b6d809e2-f1da-2d70-de81-8e8c16391ded</v>
    <v>en-GB</v>
    <v>Map</v>
  </rv>
  <rv s="1">
    <fb>62434.341999999997</fb>
    <v>24</v>
  </rv>
  <rv s="1">
    <fb>101.869515066502</fb>
    <v>27</v>
  </rv>
  <rv s="1">
    <fb>1.7443010681330101E-3</fb>
    <v>23</v>
  </rv>
  <rv s="1">
    <fb>5062.6064215523202</fb>
    <v>24</v>
  </rv>
  <rv s="1">
    <fb>1.35</fb>
    <v>25</v>
  </rv>
  <rv s="1">
    <fb>0.31685026774025399</fb>
    <v>23</v>
  </rv>
  <rv s="1">
    <fb>82.574635133688304</fb>
    <v>28</v>
  </rv>
  <rv s="1">
    <fb>1.54</fb>
    <v>29</v>
  </rv>
  <rv s="1">
    <fb>209852761468.681</fb>
    <v>30</v>
  </rv>
  <rv s="1">
    <fb>0.99553479999999994</fb>
    <v>23</v>
  </rv>
  <rv s="1">
    <fb>1.3660256999999998</fb>
    <v>23</v>
  </rv>
  <rv s="2">
    <v>8</v>
    <v>21</v>
    <v>77</v>
    <v>7</v>
    <v>0</v>
    <v>Image of Greece</v>
  </rv>
  <rv s="1">
    <fb>3.6</fb>
    <v>28</v>
  </rv>
  <rv s="0">
    <v>805306368</v>
    <v>Katerina Sakellaropoulou (President)</v>
    <v>462ce5ac-144c-7783-9c94-5cea4311427e</v>
    <v>en-GB</v>
    <v>Generic</v>
  </rv>
  <rv s="0">
    <v>805306368</v>
    <v>Kyriakos Mitsotakis (Prime minister)</v>
    <v>eea69f27-2379-cfc9-ae98-bda50d609c7e</v>
    <v>en-GB</v>
    <v>Generic</v>
  </rv>
  <rv s="3">
    <v>24</v>
  </rv>
  <rv s="4">
    <v>https://www.bing.com/search?q=greece&amp;form=skydnc</v>
    <v>Learn more on Bing</v>
  </rv>
  <rv s="1">
    <fb>81.287804878048803</fb>
    <v>28</v>
  </rv>
  <rv s="1">
    <fb>53653980000</fb>
    <v>30</v>
  </rv>
  <rv s="1">
    <fb>3</fb>
    <v>28</v>
  </rv>
  <rv s="1">
    <fb>4.46</fb>
    <v>29</v>
  </rv>
  <rv s="3">
    <v>25</v>
  </rv>
  <rv s="1">
    <fb>0.35461187979999997</fb>
    <v>23</v>
  </rv>
  <rv s="1">
    <fb>5.4789000000000003</fb>
    <v>25</v>
  </rv>
  <rv s="1">
    <fb>10566531</fb>
    <v>24</v>
  </rv>
  <rv s="1">
    <fb>0.23</fb>
    <v>23</v>
  </rv>
  <rv s="1">
    <fb>0.25900000000000001</fb>
    <v>23</v>
  </rv>
  <rv s="1">
    <fb>0.41100000000000003</fb>
    <v>23</v>
  </rv>
  <rv s="1">
    <fb>2.4E-2</fb>
    <v>23</v>
  </rv>
  <rv s="1">
    <fb>6.6000000000000003E-2</fb>
    <v>23</v>
  </rv>
  <rv s="1">
    <fb>0.17100000000000001</fb>
    <v>23</v>
  </rv>
  <rv s="1">
    <fb>0.51766998291015598</fb>
    <v>23</v>
  </rv>
  <rv s="0">
    <v>536870912</v>
    <v>East Macedonia and Thrace</v>
    <v>45283058-6358-c831-aa68-dcc775d99be8</v>
    <v>en-GB</v>
    <v>Map</v>
  </rv>
  <rv s="0">
    <v>536870912</v>
    <v>Central Macedonia</v>
    <v>6d44fc7c-bcb9-9915-acb9-64532e18830b</v>
    <v>en-GB</v>
    <v>Map</v>
  </rv>
  <rv s="0">
    <v>536870912</v>
    <v>Western Macedonia</v>
    <v>27249c7e-b5d4-18d3-d8d5-a1d976b45cfa</v>
    <v>en-GB</v>
    <v>Map</v>
  </rv>
  <rv s="0">
    <v>536870912</v>
    <v>Epirus Region</v>
    <v>0dd74b21-c5ee-b5c0-d0df-2449b32c4a88</v>
    <v>en-GB</v>
    <v>Map</v>
  </rv>
  <rv s="0">
    <v>536870912</v>
    <v>Thessaly Region</v>
    <v>187a74ea-75fb-4b8a-2fe7-2a4b94490eaa</v>
    <v>en-GB</v>
    <v>Map</v>
  </rv>
  <rv s="0">
    <v>536870912</v>
    <v>Central Greece Region</v>
    <v>e9e82b37-aaf6-3955-754d-29b23a35a921</v>
    <v>en-GB</v>
    <v>Map</v>
  </rv>
  <rv s="0">
    <v>536870912</v>
    <v>Ionian Islands Region</v>
    <v>147f3b34-7c58-e675-3c33-6ec3b9e7e362</v>
    <v>en-GB</v>
    <v>Map</v>
  </rv>
  <rv s="0">
    <v>536870912</v>
    <v>West Greece Region</v>
    <v>8ac2f879-2ecd-0569-886c-528f24c7fe28</v>
    <v>en-GB</v>
    <v>Map</v>
  </rv>
  <rv s="0">
    <v>536870912</v>
    <v>Peloponnese Region</v>
    <v>4465f45a-df6e-47fa-833e-fa82fd661725</v>
    <v>en-GB</v>
    <v>Map</v>
  </rv>
  <rv s="0">
    <v>536870912</v>
    <v>Attica Region</v>
    <v>b95eb20f-b5be-999d-2b74-7984b1607486</v>
    <v>en-GB</v>
    <v>Map</v>
  </rv>
  <rv s="0">
    <v>536870912</v>
    <v>North Aegean Region</v>
    <v>b512e4ba-99a2-717b-c03b-1ab792cd2e37</v>
    <v>en-GB</v>
    <v>Map</v>
  </rv>
  <rv s="0">
    <v>536870912</v>
    <v>South Aegean Region</v>
    <v>65bfe017-d8f1-997e-81d9-4b05e35ff5d4</v>
    <v>en-GB</v>
    <v>Map</v>
  </rv>
  <rv s="3">
    <v>26</v>
  </rv>
  <rv s="1">
    <fb>0.26193522357891597</fb>
    <v>23</v>
  </rv>
  <rv s="1">
    <fb>0.51900000000000002</fb>
    <v>23</v>
  </rv>
  <rv s="1">
    <fb>0.17238000869751002</fb>
    <v>31</v>
  </rv>
  <rv s="1">
    <fb>8507474</fb>
    <v>24</v>
  </rv>
  <rv s="6">
    <v>#VALUE!</v>
    <v>en-GB</v>
    <v>9066947b-ad82-49f5-93ff-b3c4cbc4e36a</v>
    <v>536870912</v>
    <v>1</v>
    <v>80</v>
    <v>37</v>
    <v>Greece</v>
    <v>19</v>
    <v>20</v>
    <v>Map</v>
    <v>21</v>
    <v>81</v>
    <v>GR</v>
    <v>467</v>
    <v>468</v>
    <v>469</v>
    <v>470</v>
    <v>471</v>
    <v>472</v>
    <v>473</v>
    <v>474</v>
    <v>475</v>
    <v>EUR</v>
    <v>Greece, officially the Hellenic Republic, is a country in Southeast Europe, located on the southern tip of the Balkan peninsula. Greece shares land borders with Albania to the northwest, North Macedonia and Bulgaria to the north, and Turkey to ...</v>
    <v>476</v>
    <v>477</v>
    <v>478</v>
    <v>479</v>
    <v>480</v>
    <v>481</v>
    <v>482</v>
    <v>483</v>
    <v>484</v>
    <v>485</v>
    <v>472</v>
    <v>488</v>
    <v>489</v>
    <v>490</v>
    <v>491</v>
    <v>492</v>
    <v>493</v>
    <v>Greece</v>
    <v>Hymn to Liberty</v>
    <v>494</v>
    <v>Ελληνική Δημοκρατία</v>
    <v>495</v>
    <v>496</v>
    <v>497</v>
    <v>498</v>
    <v>499</v>
    <v>500</v>
    <v>501</v>
    <v>502</v>
    <v>185</v>
    <v>503</v>
    <v>504</v>
    <v>517</v>
    <v>518</v>
    <v>519</v>
    <v>520</v>
    <v>Greece</v>
    <v>521</v>
    <v>mdp/vdpid/98</v>
  </rv>
  <rv s="0">
    <v>536870912</v>
    <v>Israel</v>
    <v>1ffafed3-2b37-b871-c271-aa855d98449a</v>
    <v>en-GB</v>
    <v>Map</v>
  </rv>
  <rv s="1">
    <fb>0.24584103512014799</fb>
    <v>23</v>
  </rv>
  <rv s="1">
    <fb>20770</fb>
    <v>24</v>
  </rv>
  <rv s="1">
    <fb>178000</fb>
    <v>24</v>
  </rv>
  <rv s="1">
    <fb>20.8</fb>
    <v>25</v>
  </rv>
  <rv s="1">
    <fb>972</fb>
    <v>26</v>
  </rv>
  <rv s="0">
    <v>536870912</v>
    <v>Jerusalem</v>
    <v>f723d141-8609-b204-3b1d-30bfcbfb9dcb</v>
    <v>en-GB</v>
    <v>Map</v>
  </rv>
  <rv s="1">
    <fb>65166.256999999998</fb>
    <v>24</v>
  </rv>
  <rv s="1">
    <fb>108.150134048257</fb>
    <v>27</v>
  </rv>
  <rv s="1">
    <fb>8.4159653362219401E-3</fb>
    <v>23</v>
  </rv>
  <rv s="1">
    <fb>6600.8982801222</fb>
    <v>24</v>
  </rv>
  <rv s="1">
    <fb>3.09</fb>
    <v>25</v>
  </rv>
  <rv s="1">
    <fb>7.7264323913235705E-2</fb>
    <v>23</v>
  </rv>
  <rv s="1">
    <fb>97.382124126026198</fb>
    <v>28</v>
  </rv>
  <rv s="1">
    <fb>1.57</fb>
    <v>29</v>
  </rv>
  <rv s="1">
    <fb>395098666121.61603</fb>
    <v>30</v>
  </rv>
  <rv s="1">
    <fb>1.0490112</fb>
    <v>23</v>
  </rv>
  <rv s="1">
    <fb>0.63354690000000002</fb>
    <v>23</v>
  </rv>
  <rv s="2">
    <v>9</v>
    <v>21</v>
    <v>83</v>
    <v>7</v>
    <v>0</v>
    <v>Image of Israel</v>
  </rv>
  <rv s="0">
    <v>805306368</v>
    <v>Isaac Herzog (President)</v>
    <v>6ec2eb61-c901-7fbe-05ae-d176e780a498</v>
    <v>en-GB</v>
    <v>Generic</v>
  </rv>
  <rv s="0">
    <v>805306368</v>
    <v>Benjamin Netanyahu (Prime minister)</v>
    <v>7ce1e366-2545-8063-de37-56de6515eb11</v>
    <v>en-GB</v>
    <v>Generic</v>
  </rv>
  <rv s="0">
    <v>805306368</v>
    <v>Uzi Vogelman (Chief justice)</v>
    <v>17598690-a33c-ab95-c603-0b10ddae3a5c</v>
    <v>en-GB</v>
    <v>Generic</v>
  </rv>
  <rv s="3">
    <v>27</v>
  </rv>
  <rv s="4">
    <v>https://www.bing.com/search?q=israel&amp;form=skydnc</v>
    <v>Learn more on Bing</v>
  </rv>
  <rv s="1">
    <fb>82.802439024390296</fb>
    <v>28</v>
  </rv>
  <rv s="1">
    <fb>237371160000</fb>
    <v>30</v>
  </rv>
  <rv s="1">
    <fb>7.58</fb>
    <v>29</v>
  </rv>
  <rv s="3">
    <v>28</v>
  </rv>
  <rv s="1">
    <fb>0.24369154550000002</fb>
    <v>23</v>
  </rv>
  <rv s="1">
    <fb>4.6249000000000002</fb>
    <v>25</v>
  </rv>
  <rv s="1">
    <fb>9550600</fb>
    <v>24</v>
  </rv>
  <rv s="1">
    <fb>0.23600000000000002</fb>
    <v>23</v>
  </rv>
  <rv s="1">
    <fb>0.27699999999999997</fb>
    <v>23</v>
  </rv>
  <rv s="1">
    <fb>0.442</fb>
    <v>23</v>
  </rv>
  <rv s="1">
    <fb>1.9E-2</fb>
    <v>23</v>
  </rv>
  <rv s="1">
    <fb>5.0999999999999997E-2</fb>
    <v>23</v>
  </rv>
  <rv s="1">
    <fb>0.106</fb>
    <v>23</v>
  </rv>
  <rv s="1">
    <fb>0.16399999999999998</fb>
    <v>23</v>
  </rv>
  <rv s="1">
    <fb>0.64041999816894501</fb>
    <v>23</v>
  </rv>
  <rv s="0">
    <v>536870912</v>
    <v>Jerusalem District</v>
    <v>dcd9b1e0-1b32-7e66-c4c1-f534cad85a11</v>
    <v>en-GB</v>
    <v>Map</v>
  </rv>
  <rv s="0">
    <v>536870912</v>
    <v>Tel Aviv District</v>
    <v>d6015b27-4dd3-610b-2fbd-43bf89e90313</v>
    <v>en-GB</v>
    <v>Map</v>
  </rv>
  <rv s="0">
    <v>536870912</v>
    <v>Central District</v>
    <v>b8c7175b-f887-8fa0-637f-e2e7e8ae8040</v>
    <v>en-GB</v>
    <v>Map</v>
  </rv>
  <rv s="0">
    <v>536870912</v>
    <v>Haifa District</v>
    <v>dbc45f9b-a63f-a09b-d54c-697c99324074</v>
    <v>en-GB</v>
    <v>Map</v>
  </rv>
  <rv s="0">
    <v>536870912</v>
    <v>Northern District</v>
    <v>22ac91a9-f743-acdf-4359-b436f384753b</v>
    <v>en-GB</v>
    <v>Map</v>
  </rv>
  <rv s="0">
    <v>536870912</v>
    <v>Southern District</v>
    <v>970325e2-3c4e-8bc8-62a8-400202e79fc2</v>
    <v>en-GB</v>
    <v>Map</v>
  </rv>
  <rv s="3">
    <v>29</v>
  </rv>
  <rv s="1">
    <fb>0.23067846531370401</fb>
    <v>23</v>
  </rv>
  <rv s="1">
    <fb>0.253</fb>
    <v>23</v>
  </rv>
  <rv s="1">
    <fb>3.8610000610351601E-2</fb>
    <v>31</v>
  </rv>
  <rv s="1">
    <fb>8374393</fb>
    <v>24</v>
  </rv>
  <rv s="6">
    <v>#VALUE!</v>
    <v>en-GB</v>
    <v>1ffafed3-2b37-b871-c271-aa855d98449a</v>
    <v>536870912</v>
    <v>1</v>
    <v>86</v>
    <v>37</v>
    <v>Israel</v>
    <v>19</v>
    <v>20</v>
    <v>Map</v>
    <v>21</v>
    <v>87</v>
    <v>IL</v>
    <v>524</v>
    <v>525</v>
    <v>526</v>
    <v>527</v>
    <v>528</v>
    <v>529</v>
    <v>530</v>
    <v>531</v>
    <v>532</v>
    <v>ILS</v>
    <v>Israel, officially the State of Israel, is a country in West Asia. It is bordered by Lebanon to the north, Syria to the northeast, Jordan to the east, the Red Sea to the south, Egypt to the southwest, the Mediterranean Sea to the west, and the ...</v>
    <v>533</v>
    <v>534</v>
    <v>535</v>
    <v>536</v>
    <v>537</v>
    <v>538</v>
    <v>539</v>
    <v>540</v>
    <v>541</v>
    <v>492</v>
    <v>529</v>
    <v>545</v>
    <v>546</v>
    <v>547</v>
    <v>548</v>
    <v>492</v>
    <v>549</v>
    <v>Israel</v>
    <v>Hatikvah</v>
    <v>550</v>
    <v>מדינת ישראל</v>
    <v>551</v>
    <v>552</v>
    <v>553</v>
    <v>554</v>
    <v>555</v>
    <v>556</v>
    <v>557</v>
    <v>558</v>
    <v>559</v>
    <v>560</v>
    <v>561</v>
    <v>568</v>
    <v>569</v>
    <v>570</v>
    <v>571</v>
    <v>Israel</v>
    <v>572</v>
    <v>mdp/vdpid/117</v>
  </rv>
  <rv s="0">
    <v>536870912</v>
    <v>Italy</v>
    <v>09e8f885-427b-8850-947d-202e0287b9e8</v>
    <v>en-GB</v>
    <v>Map</v>
  </rv>
  <rv s="1">
    <fb>0.432345141769226</fb>
    <v>23</v>
  </rv>
  <rv s="1">
    <fb>302068</fb>
    <v>24</v>
  </rv>
  <rv s="1">
    <fb>347000</fb>
    <v>24</v>
  </rv>
  <rv s="1">
    <fb>7.3</fb>
    <v>25</v>
  </rv>
  <rv s="1">
    <fb>39</fb>
    <v>26</v>
  </rv>
  <rv s="0">
    <v>536870912</v>
    <v>Rome</v>
    <v>5ed498af-fa85-2a88-874d-212494ddb06f</v>
    <v>en-GB</v>
    <v>Map</v>
  </rv>
  <rv s="1">
    <fb>320411.45899999997</fb>
    <v>24</v>
  </rv>
  <rv s="1">
    <fb>110.623595648239</fb>
    <v>27</v>
  </rv>
  <rv s="1">
    <fb>6.1124694376529102E-3</fb>
    <v>23</v>
  </rv>
  <rv s="1">
    <fb>5002.4066798773601</fb>
    <v>24</v>
  </rv>
  <rv s="1">
    <fb>1.29</fb>
    <v>25</v>
  </rv>
  <rv s="1">
    <fb>0.31790303272888798</fb>
    <v>23</v>
  </rv>
  <rv s="1">
    <fb>79.948454735494707</fb>
    <v>28</v>
  </rv>
  <rv s="1">
    <fb>1.61</fb>
    <v>29</v>
  </rv>
  <rv s="1">
    <fb>2001244392041.5701</fb>
    <v>30</v>
  </rv>
  <rv s="1">
    <fb>1.0187936</fb>
    <v>23</v>
  </rv>
  <rv s="1">
    <fb>0.61933000000000005</fb>
    <v>23</v>
  </rv>
  <rv s="2">
    <v>10</v>
    <v>21</v>
    <v>89</v>
    <v>7</v>
    <v>0</v>
    <v>Image of Italy</v>
  </rv>
  <rv s="1">
    <fb>2.6</fb>
    <v>28</v>
  </rv>
  <rv s="0">
    <v>805306368</v>
    <v>Sergio Mattarella (President)</v>
    <v>7b09388e-8b92-1261-db16-7c6882735fe1</v>
    <v>en-GB</v>
    <v>Generic</v>
  </rv>
  <rv s="0">
    <v>805306368</v>
    <v>Giorgia Meloni (Prime minister)</v>
    <v>5c9bb82e-e08f-f5eb-9f29-f20e75e8eb8f</v>
    <v>en-GB</v>
    <v>Generic</v>
  </rv>
  <rv s="3">
    <v>30</v>
  </rv>
  <rv s="4">
    <v>https://www.bing.com/search?q=italy&amp;form=skydnc</v>
    <v>Learn more on Bing</v>
  </rv>
  <rv s="1">
    <fb>82.946341463414697</fb>
    <v>28</v>
  </rv>
  <rv s="1">
    <fb>522087790000</fb>
    <v>30</v>
  </rv>
  <rv s="1">
    <fb>2</fb>
    <v>28</v>
  </rv>
  <rv s="3">
    <v>31</v>
  </rv>
  <rv s="1">
    <fb>0.2283268819</fb>
    <v>23</v>
  </rv>
  <rv s="1">
    <fb>3.9773999999999998</fb>
    <v>25</v>
  </rv>
  <rv s="1">
    <fb>58856847</fb>
    <v>24</v>
  </rv>
  <rv s="1">
    <fb>0.26700000000000002</fb>
    <v>23</v>
  </rv>
  <rv s="1">
    <fb>0.42100000000000004</fb>
    <v>23</v>
  </rv>
  <rv s="1">
    <fb>0.06</fb>
    <v>23</v>
  </rv>
  <rv s="1">
    <fb>0.495550003051758</fb>
    <v>23</v>
  </rv>
  <rv s="0">
    <v>536870912</v>
    <v>Abruzzo</v>
    <v>6d07734f-0734-da73-bda9-a2e9e44c1042</v>
    <v>en-GB</v>
    <v>Map</v>
  </rv>
  <rv s="0">
    <v>536870912</v>
    <v>Basilicata</v>
    <v>c286f639-68f8-3ed2-0119-87142c109b42</v>
    <v>en-GB</v>
    <v>Map</v>
  </rv>
  <rv s="0">
    <v>536870912</v>
    <v>Calabria</v>
    <v>87d05176-c03a-c209-fa72-dfafed738418</v>
    <v>en-GB</v>
    <v>Map</v>
  </rv>
  <rv s="0">
    <v>536870912</v>
    <v>Campania</v>
    <v>9933ef2b-24f2-a29d-6e4f-fe6bffe78694</v>
    <v>en-GB</v>
    <v>Map</v>
  </rv>
  <rv s="0">
    <v>536870912</v>
    <v>Emilia-Romagna</v>
    <v>129d3426-cfe5-9154-2989-f246e1aa5cec</v>
    <v>en-GB</v>
    <v>Map</v>
  </rv>
  <rv s="0">
    <v>536870912</v>
    <v>Friuli Venezia Giulia</v>
    <v>dfe11af7-836d-40cf-b176-995500a2a2fb</v>
    <v>en-GB</v>
    <v>Map</v>
  </rv>
  <rv s="0">
    <v>536870912</v>
    <v>Lazio</v>
    <v>e5d48b4e-72f5-da43-7854-da4784df7b51</v>
    <v>en-GB</v>
    <v>Map</v>
  </rv>
  <rv s="0">
    <v>536870912</v>
    <v>Liguria</v>
    <v>bc9d0bc0-7501-9ea0-5ffc-8d29df64f153</v>
    <v>en-GB</v>
    <v>Map</v>
  </rv>
  <rv s="0">
    <v>536870912</v>
    <v>Lombardy</v>
    <v>4e4d95c0-6e91-acd2-e10c-7165bc365e22</v>
    <v>en-GB</v>
    <v>Map</v>
  </rv>
  <rv s="0">
    <v>536870912</v>
    <v>Marche</v>
    <v>262ac8bf-0bbd-ba85-aef3-2130493eaa9b</v>
    <v>en-GB</v>
    <v>Map</v>
  </rv>
  <rv s="0">
    <v>536870912</v>
    <v>Molise</v>
    <v>048932e0-ef04-999e-a84f-326f5eaf1b11</v>
    <v>en-GB</v>
    <v>Map</v>
  </rv>
  <rv s="0">
    <v>536870912</v>
    <v>Piedmont</v>
    <v>1a1b261b-a6b1-8503-5262-e2f707fe58ce</v>
    <v>en-GB</v>
    <v>Map</v>
  </rv>
  <rv s="0">
    <v>536870912</v>
    <v>Apulia</v>
    <v>162619f7-7efb-76cc-0544-2da0306bd7c3</v>
    <v>en-GB</v>
    <v>Map</v>
  </rv>
  <rv s="0">
    <v>536870912</v>
    <v>Sardinia</v>
    <v>2ac543b8-3c5f-c1c2-9c26-7153eb61c3d0</v>
    <v>en-GB</v>
    <v>Map</v>
  </rv>
  <rv s="0">
    <v>536870912</v>
    <v>Sicily</v>
    <v>610fbc95-e594-a116-6d30-36286446a003</v>
    <v>en-GB</v>
    <v>Map</v>
  </rv>
  <rv s="0">
    <v>536870912</v>
    <v>Tuscany</v>
    <v>a8854f08-da35-486d-5bd1-760f4eeb3da0</v>
    <v>en-GB</v>
    <v>Map</v>
  </rv>
  <rv s="0">
    <v>536870912</v>
    <v>Trentino-Alto Adige/Südtirol</v>
    <v>b537e28d-6f0c-d8cf-1384-534def0737dd</v>
    <v>en-GB</v>
    <v>Map</v>
  </rv>
  <rv s="0">
    <v>536870912</v>
    <v>Umbria</v>
    <v>a75c12d3-c6a9-ea7c-e844-577d1cfe72dd</v>
    <v>en-GB</v>
    <v>Map</v>
  </rv>
  <rv s="0">
    <v>536870912</v>
    <v>Aosta Valley</v>
    <v>d9b216c7-5de6-eaf4-2383-5f7fc3075fdb</v>
    <v>en-GB</v>
    <v>Map</v>
  </rv>
  <rv s="0">
    <v>536870912</v>
    <v>Veneto</v>
    <v>6809e680-9adc-134d-ebe9-70b79f5adb5f</v>
    <v>en-GB</v>
    <v>Map</v>
  </rv>
  <rv s="3">
    <v>32</v>
  </rv>
  <rv s="1">
    <fb>0.24250464933068097</fb>
    <v>23</v>
  </rv>
  <rv s="1">
    <fb>0.59099999999999997</fb>
    <v>23</v>
  </rv>
  <rv s="1">
    <fb>9.8870000839233405E-2</fb>
    <v>31</v>
  </rv>
  <rv s="1">
    <fb>42651966</fb>
    <v>24</v>
  </rv>
  <rv s="8">
    <v>#VALUE!</v>
    <v>en-GB</v>
    <v>09e8f885-427b-8850-947d-202e0287b9e8</v>
    <v>536870912</v>
    <v>1</v>
    <v>92</v>
    <v>57</v>
    <v>Italy</v>
    <v>19</v>
    <v>20</v>
    <v>Map</v>
    <v>21</v>
    <v>93</v>
    <v>IT</v>
    <v>575</v>
    <v>576</v>
    <v>577</v>
    <v>578</v>
    <v>579</v>
    <v>580</v>
    <v>581</v>
    <v>582</v>
    <v>583</v>
    <v>EUR</v>
    <v>Italy, officially the Italian Republic, is a country in Southern and Western Europe. Located in the middle of the Mediterranean Sea, it consists of a peninsula delimited by the Alps and surrounded by several islands. Italy shares land borders ...</v>
    <v>584</v>
    <v>585</v>
    <v>586</v>
    <v>587</v>
    <v>588</v>
    <v>589</v>
    <v>590</v>
    <v>591</v>
    <v>592</v>
    <v>593</v>
    <v>580</v>
    <v>596</v>
    <v>597</v>
    <v>598</v>
    <v>599</v>
    <v>600</v>
    <v>Italy</v>
    <v>Il Canto degli Italiani</v>
    <v>601</v>
    <v>Repubblica Italiana</v>
    <v>602</v>
    <v>603</v>
    <v>604</v>
    <v>498</v>
    <v>605</v>
    <v>606</v>
    <v>557</v>
    <v>607</v>
    <v>36</v>
    <v>418</v>
    <v>608</v>
    <v>629</v>
    <v>630</v>
    <v>631</v>
    <v>632</v>
    <v>Italy</v>
    <v>633</v>
    <v>mdp/vdpid/118</v>
  </rv>
  <rv s="0">
    <v>536870912</v>
    <v>Lebanon</v>
    <v>f2d30d7c-bea9-11b5-a8fe-a92d37480c87</v>
    <v>en-GB</v>
    <v>Map</v>
  </rv>
  <rv s="1">
    <fb>0.64320625610948201</fb>
    <v>23</v>
  </rv>
  <rv s="1">
    <fb>10452</fb>
    <v>24</v>
  </rv>
  <rv s="1">
    <fb>80000</fb>
    <v>24</v>
  </rv>
  <rv s="1">
    <fb>17.545000000000002</fb>
    <v>25</v>
  </rv>
  <rv s="1">
    <fb>961</fb>
    <v>26</v>
  </rv>
  <rv s="0">
    <v>536870912</v>
    <v>Beirut</v>
    <v>afaaff6f-4112-4894-7e7e-2ca7359df5cf</v>
    <v>en-GB</v>
    <v>Map</v>
  </rv>
  <rv s="1">
    <fb>24796.254000000001</fb>
    <v>24</v>
  </rv>
  <rv s="1">
    <fb>130.024611761339</fb>
    <v>27</v>
  </rv>
  <rv s="1">
    <fb>3.0053894939038001E-2</fb>
    <v>23</v>
  </rv>
  <rv s="1">
    <fb>2588.30067018927</fb>
    <v>24</v>
  </rv>
  <rv s="1">
    <fb>2.0870000000000002</fb>
    <v>25</v>
  </rv>
  <rv s="1">
    <fb>0.134291304870785</fb>
    <v>23</v>
  </rv>
  <rv s="1">
    <fb>97.621101107806794</fb>
    <v>28</v>
  </rv>
  <rv s="1">
    <fb>0.74</fb>
    <v>29</v>
  </rv>
  <rv s="1">
    <fb>53367042272.172501</fb>
    <v>30</v>
  </rv>
  <rv s="1">
    <fb>0.95052829999999999</fb>
    <v>23</v>
  </rv>
  <rv s="1">
    <fb>0.26255430000000002</fb>
    <v>23</v>
  </rv>
  <rv s="2">
    <v>11</v>
    <v>21</v>
    <v>95</v>
    <v>7</v>
    <v>0</v>
    <v>Image of Lebanon</v>
  </rv>
  <rv s="1">
    <fb>6.4</fb>
    <v>28</v>
  </rv>
  <rv s="0">
    <v>805306368</v>
    <v>Najib Mikati (Prime minister)</v>
    <v>e3d9f212-dd43-2e8d-545a-9835e48a1acd</v>
    <v>en-GB</v>
    <v>Generic</v>
  </rv>
  <rv s="3">
    <v>33</v>
  </rv>
  <rv s="4">
    <v>https://www.bing.com/search?q=lebanon&amp;form=skydnc</v>
    <v>Learn more on Bing</v>
  </rv>
  <rv s="1">
    <fb>78.875</fb>
    <v>28</v>
  </rv>
  <rv s="1">
    <fb>7735800000</fb>
    <v>30</v>
  </rv>
  <rv s="1">
    <fb>29</fb>
    <v>28</v>
  </rv>
  <rv s="1">
    <fb>2.15</fb>
    <v>29</v>
  </rv>
  <rv s="3">
    <v>34</v>
  </rv>
  <rv s="1">
    <fb>0.32069597230000002</fb>
    <v>23</v>
  </rv>
  <rv s="1">
    <fb>2.1038000000000001</fb>
    <v>25</v>
  </rv>
  <rv s="1">
    <fb>5489739</fb>
    <v>24</v>
  </rv>
  <rv s="1">
    <fb>0.22500000000000001</fb>
    <v>23</v>
  </rv>
  <rv s="1">
    <fb>7.9000000000000001E-2</fb>
    <v>23</v>
  </rv>
  <rv s="1">
    <fb>0.127</fb>
    <v>23</v>
  </rv>
  <rv s="1">
    <fb>0.17</fb>
    <v>23</v>
  </rv>
  <rv s="1">
    <fb>0.47013000488281298</fb>
    <v>23</v>
  </rv>
  <rv s="0">
    <v>536870912</v>
    <v>Beirut Governorate</v>
    <v>51248dc1-d152-b73a-bc60-aab6ea034eb4</v>
    <v>en-GB</v>
    <v>Map</v>
  </rv>
  <rv s="0">
    <v>536870912</v>
    <v>Beqaa Governorate</v>
    <v>c9845962-193c-cf5c-bb2b-a1342db23cc0</v>
    <v>en-GB</v>
    <v>Map</v>
  </rv>
  <rv s="0">
    <v>536870912</v>
    <v>Mount Lebanon Governorate</v>
    <v>7677f064-de66-965a-3358-73cd8c1b8d48</v>
    <v>en-GB</v>
    <v>Map</v>
  </rv>
  <rv s="0">
    <v>536870912</v>
    <v>North Governorate</v>
    <v>638cd249-dbdd-b287-a3fb-c88a57e7cca0</v>
    <v>en-GB</v>
    <v>Map</v>
  </rv>
  <rv s="0">
    <v>536870912</v>
    <v>South Governorate</v>
    <v>c8fdcdf5-28fe-7307-75c0-2c2f1d3e1162</v>
    <v>en-GB</v>
    <v>Map</v>
  </rv>
  <rv s="0">
    <v>536870912</v>
    <v>Nabatieh Governorate</v>
    <v>99641455-8de4-a1c7-0c50-4e75b9f48b98</v>
    <v>en-GB</v>
    <v>Map</v>
  </rv>
  <rv s="3">
    <v>35</v>
  </rv>
  <rv s="1">
    <fb>0.153087429268704</fb>
    <v>23</v>
  </rv>
  <rv s="1">
    <fb>0.32200000000000001</fb>
    <v>23</v>
  </rv>
  <rv s="1">
    <fb>6.2290000915527298E-2</fb>
    <v>31</v>
  </rv>
  <rv s="1">
    <fb>6084994</fb>
    <v>24</v>
  </rv>
  <rv s="6">
    <v>#VALUE!</v>
    <v>en-GB</v>
    <v>f2d30d7c-bea9-11b5-a8fe-a92d37480c87</v>
    <v>536870912</v>
    <v>1</v>
    <v>98</v>
    <v>37</v>
    <v>Lebanon</v>
    <v>19</v>
    <v>20</v>
    <v>Map</v>
    <v>21</v>
    <v>99</v>
    <v>LB</v>
    <v>636</v>
    <v>637</v>
    <v>638</v>
    <v>639</v>
    <v>640</v>
    <v>641</v>
    <v>642</v>
    <v>643</v>
    <v>644</v>
    <v>LBP</v>
    <v>Lebanon, officially the Republic of Lebanon, is a country in the Levant region of West Asia. It is bordered by Syria to the north and east, by Israel to the south, and by the Mediterranean Sea to the west; Cyprus lies a short distance away from ...</v>
    <v>645</v>
    <v>646</v>
    <v>647</v>
    <v>648</v>
    <v>649</v>
    <v>650</v>
    <v>651</v>
    <v>652</v>
    <v>653</v>
    <v>654</v>
    <v>641</v>
    <v>656</v>
    <v>657</v>
    <v>658</v>
    <v>659</v>
    <v>660</v>
    <v>661</v>
    <v>Lebanon</v>
    <v>Lebanese national anthem</v>
    <v>662</v>
    <v>République libanaise</v>
    <v>663</v>
    <v>664</v>
    <v>665</v>
    <v>666</v>
    <v>32</v>
    <v>414</v>
    <v>34</v>
    <v>667</v>
    <v>668</v>
    <v>669</v>
    <v>670</v>
    <v>677</v>
    <v>678</v>
    <v>679</v>
    <v>680</v>
    <v>Lebanon</v>
    <v>681</v>
    <v>mdp/vdpid/139</v>
  </rv>
  <rv s="0">
    <v>536870912</v>
    <v>Libya</v>
    <v>b4e5604e-361e-ab37-6516-4cf5580a04aa</v>
    <v>en-GB</v>
    <v>Map</v>
  </rv>
  <rv s="1">
    <fb>8.7238710117417101E-2</fb>
    <v>23</v>
  </rv>
  <rv s="1">
    <fb>1759541</fb>
    <v>24</v>
  </rv>
  <rv s="1">
    <fb>0</fb>
    <v>24</v>
  </rv>
  <rv s="1">
    <fb>18.829000000000001</fb>
    <v>25</v>
  </rv>
  <rv s="1">
    <fb>218</fb>
    <v>26</v>
  </rv>
  <rv s="0">
    <v>536870912</v>
    <v>Tripoli</v>
    <v>797b970a-c20b-a043-ba81-e81b907b963a</v>
    <v>en-GB</v>
    <v>Map</v>
  </rv>
  <rv s="1">
    <fb>50564.262999999999</fb>
    <v>24</v>
  </rv>
  <rv s="1">
    <fb>125.711288725735</fb>
    <v>27</v>
  </rv>
  <rv s="1">
    <fb>2.6058180271951802E-2</fb>
    <v>23</v>
  </rv>
  <rv s="1">
    <fb>1811.05516990863</fb>
    <v>24</v>
  </rv>
  <rv s="1">
    <fb>2.2400000000000002</fb>
    <v>25</v>
  </rv>
  <rv s="1">
    <fb>1.2332768791843301E-3</fb>
    <v>23</v>
  </rv>
  <rv s="1">
    <fb>99.111296363411299</fb>
    <v>28</v>
  </rv>
  <rv s="1">
    <fb>0.11</fb>
    <v>29</v>
  </rv>
  <rv s="1">
    <fb>52076250947.579201</fb>
    <v>30</v>
  </rv>
  <rv s="1">
    <fb>1.0901269</fb>
    <v>23</v>
  </rv>
  <rv s="1">
    <fb>0.6049736</fb>
    <v>23</v>
  </rv>
  <rv s="2">
    <v>12</v>
    <v>21</v>
    <v>101</v>
    <v>7</v>
    <v>0</v>
    <v>Image of Libya</v>
  </rv>
  <rv s="1">
    <fb>10.199999999999999</fb>
    <v>28</v>
  </rv>
  <rv s="0">
    <v>805306368</v>
    <v>Mohamed al-Menfi (Chairman)</v>
    <v>8eca429f-6eb5-bb58-fa46-fd1ff86b30bf</v>
    <v>en-GB</v>
    <v>Generic</v>
  </rv>
  <rv s="0">
    <v>805306368</v>
    <v>Abdul Hamid Dbeibeh (Prime minister)</v>
    <v>19d6a51d-4f80-17b4-0985-1db6b876692b</v>
    <v>en-GB</v>
    <v>Generic</v>
  </rv>
  <rv s="3">
    <v>36</v>
  </rv>
  <rv s="4">
    <v>https://www.bing.com/search?q=libya&amp;form=skydnc</v>
    <v>Learn more on Bing</v>
  </rv>
  <rv s="1">
    <fb>72.724000000000004</fb>
    <v>28</v>
  </rv>
  <rv s="1">
    <fb>72</fb>
    <v>28</v>
  </rv>
  <rv s="1">
    <fb>1.88</fb>
    <v>29</v>
  </rv>
  <rv s="1">
    <fb>0.36666666669999998</fb>
    <v>23</v>
  </rv>
  <rv s="1">
    <fb>2.0905</fb>
    <v>25</v>
  </rv>
  <rv s="1">
    <fb>6812341</fb>
    <v>24</v>
  </rv>
  <rv s="1">
    <fb>0.49686000823974602</fb>
    <v>23</v>
  </rv>
  <rv s="0">
    <v>536870912</v>
    <v>Butnan District</v>
    <v>70cd1a3f-bd3b-0263-be05-46588cc766da</v>
    <v>en-GB</v>
    <v>Map</v>
  </rv>
  <rv s="0">
    <v>536870912</v>
    <v>Derna District</v>
    <v>de7ee281-0ad8-acdc-c86e-3535d0d88705</v>
    <v>en-GB</v>
    <v>Map</v>
  </rv>
  <rv s="0">
    <v>536870912</v>
    <v>Jabal al Akhdar</v>
    <v>e402f0cb-467b-7e76-6407-e14122078979</v>
    <v>en-GB</v>
    <v>Map</v>
  </rv>
  <rv s="0">
    <v>536870912</v>
    <v>Marj District</v>
    <v>8295393a-9cec-305b-834e-a2798de19289</v>
    <v>en-GB</v>
    <v>Map</v>
  </rv>
  <rv s="0">
    <v>536870912</v>
    <v>Benghazi</v>
    <v>66430d95-3827-18c3-3c9f-ba437a20c99c</v>
    <v>en-GB</v>
    <v>Map</v>
  </rv>
  <rv s="0">
    <v>536870912</v>
    <v>Al Wahat District</v>
    <v>4cdfbf92-5b82-1a82-d210-65a62a0d9e8a</v>
    <v>en-GB</v>
    <v>Map</v>
  </rv>
  <rv s="0">
    <v>536870912</v>
    <v>Kufra District</v>
    <v>bfb3c0e3-1e01-c5e3-d40c-2afeca1bf8dd</v>
    <v>en-GB</v>
    <v>Map</v>
  </rv>
  <rv s="0">
    <v>536870912</v>
    <v>Sirte District</v>
    <v>0efc7b56-02bb-1c2e-beab-3300e28a2b74</v>
    <v>en-GB</v>
    <v>Map</v>
  </rv>
  <rv s="0">
    <v>536870912</v>
    <v>Murzuq District</v>
    <v>6edf077e-3928-fdf2-1e60-c6c12552f227</v>
    <v>en-GB</v>
    <v>Map</v>
  </rv>
  <rv s="0">
    <v>536870912</v>
    <v>Sabha District</v>
    <v>bc187859-a816-aae3-f165-be8f62aba2a6</v>
    <v>en-GB</v>
    <v>Map</v>
  </rv>
  <rv s="0">
    <v>536870912</v>
    <v>Wadi al Hayaa District</v>
    <v>18bfe72f-09f3-a5d4-849a-306921a0b4df</v>
    <v>en-GB</v>
    <v>Map</v>
  </rv>
  <rv s="0">
    <v>536870912</v>
    <v>Misrata District</v>
    <v>9f9abcbd-0374-e19f-f39a-b7e0d722e5ae</v>
    <v>en-GB</v>
    <v>Map</v>
  </rv>
  <rv s="0">
    <v>536870912</v>
    <v>Murqub District</v>
    <v>52427f1d-31dc-8560-f8ea-9a850c293b99</v>
    <v>en-GB</v>
    <v>Map</v>
  </rv>
  <rv s="0">
    <v>536870912</v>
    <v>Tripoli District</v>
    <v>7e57856f-d308-8bf3-2959-247c2e03872a</v>
    <v>en-GB</v>
    <v>Map</v>
  </rv>
  <rv s="0">
    <v>536870912</v>
    <v>Jafara</v>
    <v>a65c136c-8458-c1ba-132b-e0d90f55a331</v>
    <v>en-GB</v>
    <v>Map</v>
  </rv>
  <rv s="0">
    <v>536870912</v>
    <v>Zawiya District</v>
    <v>17b11f1e-9f59-9ac1-2eda-f384b806a0e9</v>
    <v>en-GB</v>
    <v>Map</v>
  </rv>
  <rv s="0">
    <v>536870912</v>
    <v>Nuqat al Khams</v>
    <v>c726644c-b8ab-654e-fbe0-7a5f01009cbc</v>
    <v>en-GB</v>
    <v>Map</v>
  </rv>
  <rv s="0">
    <v>536870912</v>
    <v>Jabal al Gharbi District</v>
    <v>decca4b4-0c85-1058-154d-27f3ff3ff82c</v>
    <v>en-GB</v>
    <v>Map</v>
  </rv>
  <rv s="0">
    <v>536870912</v>
    <v>Nalut District</v>
    <v>9a530c1d-0e7a-2bb2-19b3-30fb1156a222</v>
    <v>en-GB</v>
    <v>Map</v>
  </rv>
  <rv s="0">
    <v>536870912</v>
    <v>Ghat District</v>
    <v>df6aff4d-0c04-536e-9e7a-00c7f88b76f5</v>
    <v>en-GB</v>
    <v>Map</v>
  </rv>
  <rv s="0">
    <v>536870912</v>
    <v>Jufra District</v>
    <v>1e0e9735-960b-0b53-6ee8-1197a464782a</v>
    <v>en-GB</v>
    <v>Map</v>
  </rv>
  <rv s="0">
    <v>536870912</v>
    <v>Wadi al Shatii District</v>
    <v>fd21c56f-fa95-a8ab-4795-0f05f8b7164f</v>
    <v>en-GB</v>
    <v>Map</v>
  </rv>
  <rv s="0">
    <v>536870912</v>
    <v>Zawiya</v>
    <v>8cacc710-ff36-89a1-46eb-f7b98912429b</v>
    <v>en-GB</v>
    <v>Map</v>
  </rv>
  <rv s="0">
    <v>536870912</v>
    <v>Ghat</v>
    <v>7508bdb5-2cb1-cb41-3034-12f9583e6bbe</v>
    <v>en-GB</v>
    <v>Map</v>
  </rv>
  <rv s="0">
    <v>536870912</v>
    <v>Nalut</v>
    <v>26bfa050-45b5-c7b9-2c3b-116423364c36</v>
    <v>en-GB</v>
    <v>Map</v>
  </rv>
  <rv s="0">
    <v>536870912</v>
    <v>Misrata</v>
    <v>8476360f-6835-0781-7fc6-fa6b36957731</v>
    <v>en-GB</v>
    <v>Map</v>
  </rv>
  <rv s="3">
    <v>37</v>
  </rv>
  <rv s="3">
    <v>38</v>
  </rv>
  <rv s="1">
    <fb>0.32600000000000001</fb>
    <v>23</v>
  </rv>
  <rv s="1">
    <fb>0.185629997253418</fb>
    <v>31</v>
  </rv>
  <rv s="1">
    <fb>5448597</fb>
    <v>24</v>
  </rv>
  <rv s="11">
    <v>#VALUE!</v>
    <v>en-GB</v>
    <v>b4e5604e-361e-ab37-6516-4cf5580a04aa</v>
    <v>536870912</v>
    <v>1</v>
    <v>104</v>
    <v>105</v>
    <v>Libya</v>
    <v>19</v>
    <v>20</v>
    <v>Map</v>
    <v>21</v>
    <v>106</v>
    <v>LY</v>
    <v>684</v>
    <v>685</v>
    <v>686</v>
    <v>687</v>
    <v>688</v>
    <v>689</v>
    <v>690</v>
    <v>691</v>
    <v>692</v>
    <v>LYD</v>
    <v>Libya, officially the State of Libya, is a country in the Maghreb region of North Africa. Libya borders the Mediterranean Sea to the north, Egypt to the east, Sudan to the southeast, Chad to the south, Niger to the southwest, Algeria to the ...</v>
    <v>693</v>
    <v>694</v>
    <v>695</v>
    <v>696</v>
    <v>697</v>
    <v>698</v>
    <v>699</v>
    <v>700</v>
    <v>701</v>
    <v>702</v>
    <v>689</v>
    <v>705</v>
    <v>706</v>
    <v>707</v>
    <v>708</v>
    <v>709</v>
    <v>Libya</v>
    <v>Libya, Libya, Libya</v>
    <v>662</v>
    <v>Stato della Libia</v>
    <v>710</v>
    <v>711</v>
    <v>712</v>
    <v>713</v>
    <v>740</v>
    <v>741</v>
    <v>742</v>
    <v>743</v>
    <v>Libya</v>
    <v>744</v>
    <v>mdp/vdpid/148</v>
  </rv>
  <rv s="0">
    <v>536870912</v>
    <v>Malta</v>
    <v>00727e9c-b7f7-2e31-0220-f5b9e956de8d</v>
    <v>en-GB</v>
    <v>Map</v>
  </rv>
  <rv s="1">
    <fb>0.32437500357627796</fb>
    <v>23</v>
  </rv>
  <rv s="1">
    <fb>316</fb>
    <v>24</v>
  </rv>
  <rv s="1">
    <fb>2000</fb>
    <v>24</v>
  </rv>
  <rv s="1">
    <fb>9.1999999999999993</fb>
    <v>25</v>
  </rv>
  <rv s="1">
    <fb>356</fb>
    <v>26</v>
  </rv>
  <rv s="0">
    <v>536870912</v>
    <v>Valletta</v>
    <v>cdfd18b4-3655-378f-8de1-0c98e7c9461d</v>
    <v>en-GB</v>
    <v>Map</v>
  </rv>
  <rv s="1">
    <fb>1342.1220000000001</fb>
    <v>24</v>
  </rv>
  <rv s="1">
    <fb>113.452474124359</fb>
    <v>27</v>
  </rv>
  <rv s="1">
    <fb>1.6420600176894701E-2</fb>
    <v>23</v>
  </rv>
  <rv s="1">
    <fb>4924.54401944044</fb>
    <v>24</v>
  </rv>
  <rv s="1">
    <fb>1.23</fb>
    <v>25</v>
  </rv>
  <rv s="1">
    <fb>1.0937499813735501E-2</fb>
    <v>23</v>
  </rv>
  <rv s="1">
    <fb>97.788461662664503</fb>
    <v>28</v>
  </rv>
  <rv s="1">
    <fb>14786156563.3046</fb>
    <v>30</v>
  </rv>
  <rv s="1">
    <fb>1.0499836999999999</fb>
    <v>23</v>
  </rv>
  <rv s="1">
    <fb>0.54259920000000006</fb>
    <v>23</v>
  </rv>
  <rv s="2">
    <v>13</v>
    <v>21</v>
    <v>108</v>
    <v>7</v>
    <v>0</v>
    <v>Image of Malta</v>
  </rv>
  <rv s="1">
    <fb>6.1</fb>
    <v>28</v>
  </rv>
  <rv s="0">
    <v>805306368</v>
    <v>George Vella (President)</v>
    <v>803a3054-6b56-b520-03e1-56d789c2e8cb</v>
    <v>en-GB</v>
    <v>Generic</v>
  </rv>
  <rv s="0">
    <v>805306368</v>
    <v>Robert Abela (Prime minister)</v>
    <v>8f70166f-3cb4-66b0-283f-e62b495e7b44</v>
    <v>en-GB</v>
    <v>Generic</v>
  </rv>
  <rv s="3">
    <v>39</v>
  </rv>
  <rv s="4">
    <v>https://www.bing.com/search?q=malta&amp;form=skydnc</v>
    <v>Learn more on Bing</v>
  </rv>
  <rv s="1">
    <fb>82.346341463414603</fb>
    <v>28</v>
  </rv>
  <rv s="1">
    <fb>5315940000</fb>
    <v>30</v>
  </rv>
  <rv s="1">
    <fb>5.07</fb>
    <v>29</v>
  </rv>
  <rv s="3">
    <v>40</v>
  </rv>
  <rv s="1">
    <fb>0.37102727109999994</fb>
    <v>23</v>
  </rv>
  <rv s="1">
    <fb>2.8597999999999999</fb>
    <v>25</v>
  </rv>
  <rv s="1">
    <fb>523417</fb>
    <v>24</v>
  </rv>
  <rv s="1">
    <fb>0.38</fb>
    <v>23</v>
  </rv>
  <rv s="1">
    <fb>8.5000000000000006E-2</fb>
    <v>23</v>
  </rv>
  <rv s="1">
    <fb>0.13400000000000001</fb>
    <v>23</v>
  </rv>
  <rv s="1">
    <fb>0.17600000000000002</fb>
    <v>23</v>
  </rv>
  <rv s="1">
    <fb>0.56527000427246099</fb>
    <v>23</v>
  </rv>
  <rv s="1">
    <fb>0.26228254141502799</fb>
    <v>23</v>
  </rv>
  <rv s="1">
    <fb>0.44</fb>
    <v>23</v>
  </rv>
  <rv s="1">
    <fb>3.4730000495910601E-2</fb>
    <v>31</v>
  </rv>
  <rv s="1">
    <fb>475902</fb>
    <v>24</v>
  </rv>
  <rv s="12">
    <v>#VALUE!</v>
    <v>en-GB</v>
    <v>00727e9c-b7f7-2e31-0220-f5b9e956de8d</v>
    <v>536870912</v>
    <v>1</v>
    <v>111</v>
    <v>112</v>
    <v>Malta</v>
    <v>19</v>
    <v>20</v>
    <v>Map</v>
    <v>21</v>
    <v>113</v>
    <v>MT</v>
    <v>747</v>
    <v>748</v>
    <v>749</v>
    <v>750</v>
    <v>751</v>
    <v>752</v>
    <v>753</v>
    <v>754</v>
    <v>755</v>
    <v>EUR</v>
    <v>Malta, officially the Republic of Malta, is an island country in southern Europe, located in the Mediterranean Sea. It consists of an archipelago between Italy and Libya. It lies 80 km south of Sicily, 284 km east of Tunisia, and 333 km north of ...</v>
    <v>756</v>
    <v>757</v>
    <v>758</v>
    <v>759</v>
    <v>14</v>
    <v>760</v>
    <v>761</v>
    <v>762</v>
    <v>763</v>
    <v>764</v>
    <v>767</v>
    <v>768</v>
    <v>769</v>
    <v>770</v>
    <v>286</v>
    <v>771</v>
    <v>Malta</v>
    <v>L-Innu Malti</v>
    <v>772</v>
    <v>Maltská republika</v>
    <v>773</v>
    <v>774</v>
    <v>775</v>
    <v>666</v>
    <v>31</v>
    <v>776</v>
    <v>294</v>
    <v>777</v>
    <v>778</v>
    <v>779</v>
    <v>780</v>
    <v>781</v>
    <v>53</v>
    <v>782</v>
    <v>783</v>
    <v>Malta</v>
    <v>784</v>
    <v>mdp/vdpid/163</v>
  </rv>
  <rv s="0">
    <v>536870912</v>
    <v>Monaco</v>
    <v>641c5b20-4d7d-f3b8-b1f9-c1c0bdc2b8f7</v>
    <v>en-GB</v>
    <v>Map</v>
  </rv>
  <rv s="1">
    <fb>2.02</fb>
    <v>24</v>
  </rv>
  <rv s="1">
    <fb>5.9</fb>
    <v>25</v>
  </rv>
  <rv s="1">
    <fb>377</fb>
    <v>26</v>
  </rv>
  <rv s="0">
    <v>536870912</v>
    <v>Monaco City</v>
    <v>e2c8acee-ade6-7390-be22-b8d3d72b1354</v>
    <v>en-GB</v>
    <v>Map</v>
  </rv>
  <rv s="1">
    <fb>2</fb>
    <v>29</v>
  </rv>
  <rv s="1">
    <fb>7184844192.6345596</fb>
    <v>30</v>
  </rv>
  <rv s="2">
    <v>14</v>
    <v>21</v>
    <v>115</v>
    <v>7</v>
    <v>0</v>
    <v>Image of Monaco</v>
  </rv>
  <rv s="0">
    <v>805306368</v>
    <v>Albert II, Prince of Monaco (Monarch)</v>
    <v>b32cecce-46dc-2989-4b6d-7895808d7d1b</v>
    <v>en-GB</v>
    <v>Generic</v>
  </rv>
  <rv s="0">
    <v>805306368</v>
    <v>Pierre Dartout (Minister of State)</v>
    <v>cab31210-51a5-59ac-a398-6b01e3a9367c</v>
    <v>en-GB</v>
    <v>Generic</v>
  </rv>
  <rv s="3">
    <v>41</v>
  </rv>
  <rv s="4">
    <v>https://www.bing.com/search?q=monaco&amp;form=skydnc</v>
    <v>Learn more on Bing</v>
  </rv>
  <rv s="1">
    <fb>11.72</fb>
    <v>29</v>
  </rv>
  <rv s="3">
    <v>42</v>
  </rv>
  <rv s="1">
    <fb>6.0633433899999999E-2</fb>
    <v>23</v>
  </rv>
  <rv s="1">
    <fb>6.5617000000000001</fb>
    <v>25</v>
  </rv>
  <rv s="1">
    <fb>36469</fb>
    <v>24</v>
  </rv>
  <rv s="1">
    <fb>38964</fb>
    <v>24</v>
  </rv>
  <rv s="13">
    <v>#VALUE!</v>
    <v>en-GB</v>
    <v>641c5b20-4d7d-f3b8-b1f9-c1c0bdc2b8f7</v>
    <v>536870912</v>
    <v>1</v>
    <v>118</v>
    <v>119</v>
    <v>Monaco</v>
    <v>19</v>
    <v>20</v>
    <v>Map</v>
    <v>21</v>
    <v>120</v>
    <v>MC</v>
    <v>787</v>
    <v>788</v>
    <v>789</v>
    <v>790</v>
    <v>EUR</v>
    <v>Monaco, officially the Principality of Monaco, is a sovereign city-state and microstate on the French Riviera a few kilometres west of the Italian region of Liguria, in Western Europe, on the Mediterranean Sea. It is bordered by France to the ...</v>
    <v>791</v>
    <v>792</v>
    <v>793</v>
    <v>593</v>
    <v>790</v>
    <v>796</v>
    <v>797</v>
    <v>798</v>
    <v>Monaco</v>
    <v>Hymne monégasque</v>
    <v>799</v>
    <v>Monaco</v>
    <v>800</v>
    <v>801</v>
    <v>802</v>
    <v>53</v>
    <v>Monaco</v>
    <v>803</v>
    <v>mdp/vdpid/158</v>
  </rv>
  <rv s="0">
    <v>536870912</v>
    <v>Montenegro</v>
    <v>af9f6af3-dd71-b99f-0f24-acfa43b556ef</v>
    <v>en-GB</v>
    <v>Map</v>
  </rv>
  <rv s="1">
    <fb>0.189591078066914</fb>
    <v>23</v>
  </rv>
  <rv s="1">
    <fb>13812</fb>
    <v>24</v>
  </rv>
  <rv s="1">
    <fb>12000</fb>
    <v>24</v>
  </rv>
  <rv s="1">
    <fb>11.731999999999999</fb>
    <v>25</v>
  </rv>
  <rv s="1">
    <fb>382</fb>
    <v>26</v>
  </rv>
  <rv s="0">
    <v>536870912</v>
    <v>Podgorica</v>
    <v>8cd372e7-d0e4-b57b-42ec-5553ec56dfd8</v>
    <v>en-GB</v>
    <v>Map</v>
  </rv>
  <rv s="1">
    <fb>2016.85</fb>
    <v>24</v>
  </rv>
  <rv s="1">
    <fb>116.32011728325899</fb>
    <v>27</v>
  </rv>
  <rv s="1">
    <fb>2.6112164723023201E-2</fb>
    <v>23</v>
  </rv>
  <rv s="1">
    <fb>4612.3413904568897</fb>
    <v>24</v>
  </rv>
  <rv s="1">
    <fb>1.7450000000000001</fb>
    <v>25</v>
  </rv>
  <rv s="1">
    <fb>0.61486988847583601</fb>
    <v>23</v>
  </rv>
  <rv s="1">
    <fb>64.664697002011494</fb>
    <v>28</v>
  </rv>
  <rv s="1">
    <fb>1.1599999999999999</fb>
    <v>29</v>
  </rv>
  <rv s="1">
    <fb>5494736901.0299997</fb>
    <v>30</v>
  </rv>
  <rv s="1">
    <fb>1.0000255</fb>
    <v>23</v>
  </rv>
  <rv s="1">
    <fb>0.56080969999999997</fb>
    <v>23</v>
  </rv>
  <rv s="2">
    <v>15</v>
    <v>21</v>
    <v>122</v>
    <v>7</v>
    <v>0</v>
    <v>Image of Montenegro</v>
  </rv>
  <rv s="1">
    <fb>2.2999999999999998</fb>
    <v>28</v>
  </rv>
  <rv s="0">
    <v>805306368</v>
    <v>Jakov Milatović (President)</v>
    <v>c5ebdbf4-0ea1-7fdf-3183-65fe6ba3951f</v>
    <v>en-GB</v>
    <v>Generic</v>
  </rv>
  <rv s="0">
    <v>805306368</v>
    <v>Milojko Spajić (Prime minister)</v>
    <v>765c984e-797a-8014-56a5-505ab4c9d031</v>
    <v>en-GB</v>
    <v>Generic</v>
  </rv>
  <rv s="0">
    <v>805306368</v>
    <v>Andrija Mandić (Speaker)</v>
    <v>173458af-ef85-a3ba-f4d0-186f81cd9fa6</v>
    <v>en-GB</v>
    <v>Generic</v>
  </rv>
  <rv s="3">
    <v>43</v>
  </rv>
  <rv s="4">
    <v>https://www.bing.com/search?q=montenegro&amp;form=skydnc</v>
    <v>Learn more on Bing</v>
  </rv>
  <rv s="1">
    <fb>76.77</fb>
    <v>28</v>
  </rv>
  <rv s="1">
    <fb>3787240000</fb>
    <v>30</v>
  </rv>
  <rv s="3">
    <v>44</v>
  </rv>
  <rv s="1">
    <fb>0.3182014152</fb>
    <v>23</v>
  </rv>
  <rv s="1">
    <fb>2.7557</fb>
    <v>25</v>
  </rv>
  <rv s="1">
    <fb>616159</fb>
    <v>24</v>
  </rv>
  <rv s="1">
    <fb>0.23499999999999999</fb>
    <v>23</v>
  </rv>
  <rv s="1">
    <fb>0.44299999999999995</fb>
    <v>23</v>
  </rv>
  <rv s="1">
    <fb>1.8000000000000002E-2</fb>
    <v>23</v>
  </rv>
  <rv s="1">
    <fb>5.2000000000000005E-2</fb>
    <v>23</v>
  </rv>
  <rv s="1">
    <fb>0.107</fb>
    <v>23</v>
  </rv>
  <rv s="1">
    <fb>0.16300000000000001</fb>
    <v>23</v>
  </rv>
  <rv s="1">
    <fb>0.54443000793457008</fb>
    <v>23</v>
  </rv>
  <rv s="0">
    <v>536870912</v>
    <v>Andrijevica Municipality</v>
    <v>15a37fd2-f0ad-4044-9048-f5902e1cdf8e</v>
    <v>en-GB</v>
    <v>Map</v>
  </rv>
  <rv s="0">
    <v>536870912</v>
    <v>Bar Municipality</v>
    <v>ef402ae9-9313-4a3d-bcb2-2fdd468f608e</v>
    <v>en-GB</v>
    <v>Map</v>
  </rv>
  <rv s="0">
    <v>536870912</v>
    <v>Berane Municipality</v>
    <v>ba21b443-43c6-4420-8c5a-6541e36f2955</v>
    <v>en-GB</v>
    <v>Map</v>
  </rv>
  <rv s="0">
    <v>536870912</v>
    <v>Bijelo Polje Municipality</v>
    <v>af43ef93-bd2b-4959-bb03-8d4924e72043</v>
    <v>en-GB</v>
    <v>Map</v>
  </rv>
  <rv s="0">
    <v>536870912</v>
    <v>Budva Municipality</v>
    <v>503e2de6-0c48-43c1-8cf7-dc1bf1d58e41</v>
    <v>en-GB</v>
    <v>Map</v>
  </rv>
  <rv s="0">
    <v>536870912</v>
    <v>Kotor Municipality</v>
    <v>7d2d8478-3eec-4f4d-8904-aed6eb68977f</v>
    <v>en-GB</v>
    <v>Map</v>
  </rv>
  <rv s="0">
    <v>536870912</v>
    <v>Old Royal Capital Cetinje</v>
    <v>af4f2915-ea34-41ab-94ef-68e51355a455</v>
    <v>en-GB</v>
    <v>Map</v>
  </rv>
  <rv s="0">
    <v>536870912</v>
    <v>Danilovgrad Municipality</v>
    <v>e0623382-556b-4a20-a0c6-e12a7ea20bd3</v>
    <v>en-GB</v>
    <v>Map</v>
  </rv>
  <rv s="0">
    <v>536870912</v>
    <v>Ulcinj Municipality</v>
    <v>fc0d2072-fca6-4699-9021-0607660d0ac6</v>
    <v>en-GB</v>
    <v>Map</v>
  </rv>
  <rv s="0">
    <v>536870912</v>
    <v>Kolašin Municipality</v>
    <v>17e42a17-1587-4293-b180-a2e85d6bc4db</v>
    <v>en-GB</v>
    <v>Map</v>
  </rv>
  <rv s="0">
    <v>536870912</v>
    <v>Mojkovac Municipality</v>
    <v>3f1ef5ae-3f29-4643-9439-cc3c8109fdf5</v>
    <v>en-GB</v>
    <v>Map</v>
  </rv>
  <rv s="0">
    <v>536870912</v>
    <v>Nikšić Municipality</v>
    <v>56916107-c5a6-4deb-8948-9e0835af416f</v>
    <v>en-GB</v>
    <v>Map</v>
  </rv>
  <rv s="0">
    <v>536870912</v>
    <v>Plav Municipality</v>
    <v>d4702035-6dee-47bd-b576-a1316db150a6</v>
    <v>en-GB</v>
    <v>Map</v>
  </rv>
  <rv s="0">
    <v>536870912</v>
    <v>Pljevlja Municipality</v>
    <v>2834b7b3-5e41-4d03-9414-41ae6c7e882c</v>
    <v>en-GB</v>
    <v>Map</v>
  </rv>
  <rv s="0">
    <v>536870912</v>
    <v>Plužine Municipality</v>
    <v>1eb28701-9a95-4f2f-8055-cb5c70ac9077</v>
    <v>en-GB</v>
    <v>Map</v>
  </rv>
  <rv s="0">
    <v>536870912</v>
    <v>Podgorica Capital City</v>
    <v>1b997d29-a716-4538-a589-3e0996365705</v>
    <v>en-GB</v>
    <v>Map</v>
  </rv>
  <rv s="0">
    <v>536870912</v>
    <v>Rožaje Municipality</v>
    <v>1a5c0b0d-df89-4bc0-8d71-752272966a86</v>
    <v>en-GB</v>
    <v>Map</v>
  </rv>
  <rv s="0">
    <v>536870912</v>
    <v>Šavnik Municipality</v>
    <v>c19e8398-1916-46d8-b7a8-0c535c22023c</v>
    <v>en-GB</v>
    <v>Map</v>
  </rv>
  <rv s="0">
    <v>536870912</v>
    <v>Tivat Municipality</v>
    <v>f95f9e50-aa80-488e-babc-916a41ffe420</v>
    <v>en-GB</v>
    <v>Map</v>
  </rv>
  <rv s="0">
    <v>536870912</v>
    <v>Žabljak Municipality</v>
    <v>f1f84361-1f5b-4ff9-ade2-f85534e8c1d1</v>
    <v>en-GB</v>
    <v>Map</v>
  </rv>
  <rv s="0">
    <v>536870912</v>
    <v>Petnjica Municipality</v>
    <v>639aacbf-be60-7b50-a111-95e35036c2dc</v>
    <v>en-GB</v>
    <v>Map</v>
  </rv>
  <rv s="0">
    <v>536870912</v>
    <v>Gusinje Municipality</v>
    <v>f7f5835a-889d-4113-68ea-2009058f1a4d</v>
    <v>en-GB</v>
    <v>Map</v>
  </rv>
  <rv s="3">
    <v>45</v>
  </rv>
  <rv s="1">
    <fb>0.222</fb>
    <v>23</v>
  </rv>
  <rv s="1">
    <fb>0.14883000373840299</fb>
    <v>31</v>
  </rv>
  <rv s="1">
    <fb>417765</fb>
    <v>24</v>
  </rv>
  <rv s="14">
    <v>#VALUE!</v>
    <v>en-GB</v>
    <v>af9f6af3-dd71-b99f-0f24-acfa43b556ef</v>
    <v>536870912</v>
    <v>1</v>
    <v>125</v>
    <v>126</v>
    <v>Montenegro</v>
    <v>19</v>
    <v>20</v>
    <v>Map</v>
    <v>21</v>
    <v>127</v>
    <v>ME</v>
    <v>806</v>
    <v>807</v>
    <v>808</v>
    <v>809</v>
    <v>810</v>
    <v>811</v>
    <v>812</v>
    <v>813</v>
    <v>814</v>
    <v>EUR</v>
    <v>Montenegro is a country in Southeast Europe. It is bordered by Bosnia and Herzegovina to the north, Serbia to the northeast, Kosovo to the east, Albania to the southeast, and Croatia and the Adriatic Sea to the northwest with a coastline of ...</v>
    <v>815</v>
    <v>816</v>
    <v>817</v>
    <v>818</v>
    <v>819</v>
    <v>820</v>
    <v>821</v>
    <v>822</v>
    <v>823</v>
    <v>824</v>
    <v>811</v>
    <v>828</v>
    <v>829</v>
    <v>830</v>
    <v>831</v>
    <v>286</v>
    <v>275</v>
    <v>Montenegro</v>
    <v>Oj, svijetla majska zoro</v>
    <v>832</v>
    <v>Црна Гора / Crna Gora</v>
    <v>833</v>
    <v>834</v>
    <v>835</v>
    <v>836</v>
    <v>555</v>
    <v>837</v>
    <v>838</v>
    <v>839</v>
    <v>840</v>
    <v>841</v>
    <v>842</v>
    <v>865</v>
    <v>53</v>
    <v>866</v>
    <v>867</v>
    <v>Montenegro</v>
    <v>868</v>
    <v>mdp/vdpid/270</v>
  </rv>
  <rv s="0">
    <v>536870912</v>
    <v>Morocco</v>
    <v>70f80aeb-dadf-b744-30f3-cea7fe3e7a8f</v>
    <v>en-GB</v>
    <v>Map</v>
  </rv>
  <rv s="1">
    <fb>0.68544700873851694</fb>
    <v>23</v>
  </rv>
  <rv s="1">
    <fb>446550</fb>
    <v>24</v>
  </rv>
  <rv s="1">
    <fb>246000</fb>
    <v>24</v>
  </rv>
  <rv s="1">
    <fb>18.937000000000001</fb>
    <v>25</v>
  </rv>
  <rv s="1">
    <fb>212</fb>
    <v>26</v>
  </rv>
  <rv s="0">
    <v>536870912</v>
    <v>Rabat</v>
    <v>c1bdba78-6d2f-350d-fb4e-8a0636bc1a1f</v>
    <v>en-GB</v>
    <v>Map</v>
  </rv>
  <rv s="1">
    <fb>61275.57</fb>
    <v>24</v>
  </rv>
  <rv s="1">
    <fb>111.06755821996801</fb>
    <v>27</v>
  </rv>
  <rv s="1">
    <fb>1.9606552057642502E-3</fb>
    <v>23</v>
  </rv>
  <rv s="1">
    <fb>904.442154848276</fb>
    <v>24</v>
  </rv>
  <rv s="1">
    <fb>2.415</fb>
    <v>25</v>
  </rv>
  <rv s="1">
    <fb>0.12601389200089599</fb>
    <v>23</v>
  </rv>
  <rv s="1">
    <fb>88.468862812342195</fb>
    <v>28</v>
  </rv>
  <rv s="1">
    <fb>0.99</fb>
    <v>29</v>
  </rv>
  <rv s="1">
    <fb>118725279596.13</fb>
    <v>30</v>
  </rv>
  <rv s="1">
    <fb>1.1387658000000001</fb>
    <v>23</v>
  </rv>
  <rv s="1">
    <fb>0.35935929999999999</fb>
    <v>23</v>
  </rv>
  <rv s="2">
    <v>16</v>
    <v>21</v>
    <v>129</v>
    <v>7</v>
    <v>0</v>
    <v>Image of Morocco</v>
  </rv>
  <rv s="1">
    <fb>19.2</fb>
    <v>28</v>
  </rv>
  <rv s="0">
    <v>536870912</v>
    <v>Casablanca</v>
    <v>6e0e6ca2-e092-9d0b-f376-e56de22511d6</v>
    <v>en-GB</v>
    <v>Map</v>
  </rv>
  <rv s="0">
    <v>805306368</v>
    <v>Mohammed VI of Morocco (King)</v>
    <v>a8b6463e-cb6c-6fcd-25da-aea08a8138f6</v>
    <v>en-GB</v>
    <v>Generic</v>
  </rv>
  <rv s="0">
    <v>805306368</v>
    <v>Aziz Akhannouch (Prime minister)</v>
    <v>0857cab8-6f91-95d6-9379-d47107139224</v>
    <v>en-GB</v>
    <v>Generic</v>
  </rv>
  <rv s="3">
    <v>46</v>
  </rv>
  <rv s="4">
    <v>https://www.bing.com/search?q=morocco&amp;form=skydnc</v>
    <v>Learn more on Bing</v>
  </rv>
  <rv s="1">
    <fb>76.453000000000003</fb>
    <v>28</v>
  </rv>
  <rv s="1">
    <fb>65415260000</fb>
    <v>30</v>
  </rv>
  <rv s="1">
    <fb>70</fb>
    <v>28</v>
  </rv>
  <rv s="1">
    <fb>1.6</fb>
    <v>29</v>
  </rv>
  <rv s="3">
    <v>47</v>
  </rv>
  <rv s="1">
    <fb>0.53084071929999999</fb>
    <v>23</v>
  </rv>
  <rv s="1">
    <fb>0.72729999999999995</fb>
    <v>25</v>
  </rv>
  <rv s="1">
    <fb>37457971</fb>
    <v>24</v>
  </rv>
  <rv s="1">
    <fb>0.20899999999999999</fb>
    <v>23</v>
  </rv>
  <rv s="1">
    <fb>0.31900000000000001</fb>
    <v>23</v>
  </rv>
  <rv s="1">
    <fb>0.47</fb>
    <v>23</v>
  </rv>
  <rv s="1">
    <fb>6.7000000000000004E-2</fb>
    <v>23</v>
  </rv>
  <rv s="1">
    <fb>0.14699999999999999</fb>
    <v>23</v>
  </rv>
  <rv s="1">
    <fb>0.45305999755859405</fb>
    <v>23</v>
  </rv>
  <rv s="0">
    <v>536870912</v>
    <v>Tanger-Tetouan-Al Hoceima</v>
    <v>b2b988dd-fd79-ea5e-aab0-e61172e8563a</v>
    <v>en-GB</v>
    <v>Map</v>
  </rv>
  <rv s="0">
    <v>536870912</v>
    <v>Oriental</v>
    <v>ede82c2d-4963-5eaa-dd72-96771e2b4ad7</v>
    <v>en-GB</v>
    <v>Map</v>
  </rv>
  <rv s="0">
    <v>536870912</v>
    <v>Fès-Meknès</v>
    <v>1796453a-bad4-8b50-6a38-ec8e50763de3</v>
    <v>en-GB</v>
    <v>Map</v>
  </rv>
  <rv s="0">
    <v>536870912</v>
    <v>Rabat-Salé-Kénitra</v>
    <v>d608a3a6-e00a-255a-7bb0-4c932d8ac70e</v>
    <v>en-GB</v>
    <v>Map</v>
  </rv>
  <rv s="0">
    <v>536870912</v>
    <v>Béni Mellal-Khénifra</v>
    <v>63a560e7-a92b-91a4-d450-0070c6d646ed</v>
    <v>en-GB</v>
    <v>Map</v>
  </rv>
  <rv s="0">
    <v>536870912</v>
    <v>Casablanca-Settat</v>
    <v>0a1da02f-c2ab-cd63-4513-0ad53a204add</v>
    <v>en-GB</v>
    <v>Map</v>
  </rv>
  <rv s="0">
    <v>536870912</v>
    <v>Marrakesh-Safi</v>
    <v>72062986-b181-1c91-77d8-f1c50d8e1167</v>
    <v>en-GB</v>
    <v>Map</v>
  </rv>
  <rv s="0">
    <v>536870912</v>
    <v>Drâa-Tafilalet</v>
    <v>a5af6ee0-6211-7bcb-e47f-24318991bc0b</v>
    <v>en-GB</v>
    <v>Map</v>
  </rv>
  <rv s="0">
    <v>536870912</v>
    <v>Souss-Massa</v>
    <v>79a4822d-1223-a9ce-9ec7-82f8f2f4efb9</v>
    <v>en-GB</v>
    <v>Map</v>
  </rv>
  <rv s="0">
    <v>536870912</v>
    <v>Guelmim-Oued Noun</v>
    <v>f0a8c051-b07e-0e55-2dd7-9c218b5ead01</v>
    <v>en-GB</v>
    <v>Map</v>
  </rv>
  <rv s="0">
    <v>536870912</v>
    <v>Laâyoune-Sakia El Hamra</v>
    <v>dc6d2a0d-e8e8-c9ba-7064-112a1b9c2b06</v>
    <v>en-GB</v>
    <v>Map</v>
  </rv>
  <rv s="0">
    <v>536870912</v>
    <v>Dakhla-Oued Ed-Dahab</v>
    <v>9b6060ab-7891-e388-112f-5d61ad7cdad5</v>
    <v>en-GB</v>
    <v>Map</v>
  </rv>
  <rv s="3">
    <v>48</v>
  </rv>
  <rv s="1">
    <fb>0.21906614484662298</fb>
    <v>23</v>
  </rv>
  <rv s="1">
    <fb>0.45799999999999996</fb>
    <v>23</v>
  </rv>
  <rv s="1">
    <fb>9.0190000534057596E-2</fb>
    <v>31</v>
  </rv>
  <rv s="1">
    <fb>22975026</fb>
    <v>24</v>
  </rv>
  <rv s="6">
    <v>#VALUE!</v>
    <v>en-GB</v>
    <v>70f80aeb-dadf-b744-30f3-cea7fe3e7a8f</v>
    <v>536870912</v>
    <v>1</v>
    <v>132</v>
    <v>37</v>
    <v>Morocco</v>
    <v>19</v>
    <v>20</v>
    <v>Map</v>
    <v>21</v>
    <v>133</v>
    <v>MA</v>
    <v>871</v>
    <v>872</v>
    <v>873</v>
    <v>874</v>
    <v>875</v>
    <v>876</v>
    <v>877</v>
    <v>878</v>
    <v>879</v>
    <v>MAD</v>
    <v>Morocco, officially the Kingdom of Morocco, is a country in the Maghreb region of North Africa. It overlooks the Mediterranean Sea to the north and the Atlantic Ocean to the west, and has land borders with Algeria to the east, and the disputed ...</v>
    <v>880</v>
    <v>881</v>
    <v>882</v>
    <v>883</v>
    <v>884</v>
    <v>885</v>
    <v>886</v>
    <v>887</v>
    <v>888</v>
    <v>889</v>
    <v>890</v>
    <v>893</v>
    <v>894</v>
    <v>895</v>
    <v>896</v>
    <v>897</v>
    <v>898</v>
    <v>Morocco</v>
    <v>Cherifian Anthem</v>
    <v>899</v>
    <v>Kongeriget Marokko</v>
    <v>900</v>
    <v>901</v>
    <v>902</v>
    <v>903</v>
    <v>904</v>
    <v>905</v>
    <v>230</v>
    <v>906</v>
    <v>840</v>
    <v>907</v>
    <v>908</v>
    <v>921</v>
    <v>922</v>
    <v>923</v>
    <v>924</v>
    <v>Morocco</v>
    <v>925</v>
    <v>mdp/vdpid/159</v>
  </rv>
  <rv s="0">
    <v>536870912</v>
    <v>Palestinian National Authority</v>
    <v>09247c07-b79f-da91-0fef-81f6cda236a3</v>
    <v>en-GB</v>
    <v>Map</v>
  </rv>
  <rv s="1">
    <fb>6220</fb>
    <v>24</v>
  </rv>
  <rv s="0">
    <v>536870912</v>
    <v>Ramallah</v>
    <v>86a7d23c-fc2f-218b-7b55-32e1d101ed92</v>
    <v>en-GB</v>
    <v>Map</v>
  </rv>
  <rv s="1">
    <fb>4015865744</fb>
    <v>30</v>
  </rv>
  <rv s="2">
    <v>17</v>
    <v>21</v>
    <v>135</v>
    <v>7</v>
    <v>0</v>
    <v>Image of Palestinian National Authority</v>
  </rv>
  <rv s="0">
    <v>805306368</v>
    <v>Mahmoud Abbas (President)</v>
    <v>c1f2627a-250f-32bf-548d-f2adc79c8c65</v>
    <v>en-GB</v>
    <v>Generic</v>
  </rv>
  <rv s="3">
    <v>49</v>
  </rv>
  <rv s="4">
    <v>https://www.bing.com/search?q=palestinian+national+authority&amp;form=skydnc</v>
    <v>Learn more on Bing</v>
  </rv>
  <rv s="15">
    <v>#VALUE!</v>
    <v>en-GB</v>
    <v>09247c07-b79f-da91-0fef-81f6cda236a3</v>
    <v>536870912</v>
    <v>1</v>
    <v>136</v>
    <v>137</v>
    <v>Palestinian National Authority</v>
    <v>138</v>
    <v>20</v>
    <v>Map</v>
    <v>21</v>
    <v>139</v>
    <v>928</v>
    <v>929</v>
    <v>The Palestinian National Authority, commonly known as the Palestinian Authority and officially the State of Palestine, is the Fatah-controlled government body that exercises partial civil control over West Bank areas "A" and "B" as a consequence ...</v>
    <v>930</v>
    <v>931</v>
    <v>933</v>
    <v>934</v>
    <v>Palestinian National Authority</v>
    <v>Fida'i</v>
    <v>662</v>
    <v>Palestinian National Authority</v>
    <v>Palestinian National Authority</v>
  </rv>
  <rv s="0">
    <v>536870912</v>
    <v>Slovenia</v>
    <v>4982784a-4967-52d1-c08e-ffd0f091566e</v>
    <v>en-GB</v>
    <v>Map</v>
  </rv>
  <rv s="1">
    <fb>0.30656339759590101</fb>
    <v>23</v>
  </rv>
  <rv s="1">
    <fb>20271</fb>
    <v>24</v>
  </rv>
  <rv s="1">
    <fb>7000</fb>
    <v>24</v>
  </rv>
  <rv s="1">
    <fb>9.4</fb>
    <v>25</v>
  </rv>
  <rv s="1">
    <fb>386</fb>
    <v>26</v>
  </rv>
  <rv s="0">
    <v>536870912</v>
    <v>Ljubljana</v>
    <v>692acddf-5ab9-3bdd-6312-19b898edc3c2</v>
    <v>en-GB</v>
    <v>Map</v>
  </rv>
  <rv s="1">
    <fb>12632.815000000001</fb>
    <v>24</v>
  </rv>
  <rv s="1">
    <fb>111.051074912815</fb>
    <v>27</v>
  </rv>
  <rv s="1">
    <fb>1.6305226075433801E-2</fb>
    <v>23</v>
  </rv>
  <rv s="1">
    <fb>6727.9993016421104</fb>
    <v>24</v>
  </rv>
  <rv s="1">
    <fb>1.6</fb>
    <v>25</v>
  </rv>
  <rv s="1">
    <fb>0.61970011986429907</fb>
    <v>23</v>
  </rv>
  <rv s="1">
    <fb>61.114199486891998</fb>
    <v>28</v>
  </rv>
  <rv s="1">
    <fb>1.32</fb>
    <v>29</v>
  </rv>
  <rv s="1">
    <fb>53742159516.927803</fb>
    <v>30</v>
  </rv>
  <rv s="1">
    <fb>1.0039673999999998</fb>
    <v>23</v>
  </rv>
  <rv s="1">
    <fb>0.78588999999999998</fb>
    <v>23</v>
  </rv>
  <rv s="2">
    <v>18</v>
    <v>21</v>
    <v>141</v>
    <v>7</v>
    <v>0</v>
    <v>Image of Slovenia</v>
  </rv>
  <rv s="1">
    <fb>1.7</fb>
    <v>28</v>
  </rv>
  <rv s="0">
    <v>805306368</v>
    <v>Nataša Pirc Musar (President)</v>
    <v>d6e983fd-ed88-47fa-3eaf-3d59eb5d7466</v>
    <v>en-GB</v>
    <v>Generic</v>
  </rv>
  <rv s="0">
    <v>805306368</v>
    <v>Robert Golob (Prime minister)</v>
    <v>520708e8-d129-bc6f-c374-2d90c03e2703</v>
    <v>en-GB</v>
    <v>Generic</v>
  </rv>
  <rv s="3">
    <v>50</v>
  </rv>
  <rv s="4">
    <v>https://www.bing.com/search?q=slovenia&amp;form=skydnc</v>
    <v>Learn more on Bing</v>
  </rv>
  <rv s="1">
    <fb>81.0292682926829</fb>
    <v>28</v>
  </rv>
  <rv s="1">
    <fb>7923300000</fb>
    <v>30</v>
  </rv>
  <rv s="1">
    <fb>7</fb>
    <v>28</v>
  </rv>
  <rv s="1">
    <fb>5.25</fb>
    <v>29</v>
  </rv>
  <rv s="3">
    <v>51</v>
  </rv>
  <rv s="1">
    <fb>0.125241191</fb>
    <v>23</v>
  </rv>
  <rv s="1">
    <fb>3.0861000000000001</fb>
    <v>25</v>
  </rv>
  <rv s="1">
    <fb>2108732</fb>
    <v>24</v>
  </rv>
  <rv s="1">
    <fb>0.20399999999999999</fb>
    <v>23</v>
  </rv>
  <rv s="1">
    <fb>0.34399999999999997</fb>
    <v>23</v>
  </rv>
  <rv s="1">
    <fb>4.0999999999999995E-2</fb>
    <v>23</v>
  </rv>
  <rv s="1">
    <fb>0.1</fb>
    <v>23</v>
  </rv>
  <rv s="1">
    <fb>0.14800000000000002</fb>
    <v>23</v>
  </rv>
  <rv s="1">
    <fb>0.183</fb>
    <v>23</v>
  </rv>
  <rv s="1">
    <fb>0.58361000061035195</fb>
    <v>23</v>
  </rv>
  <rv s="0">
    <v>536870912</v>
    <v>Ajdovščina Municipality</v>
    <v>e8ff9634-75bc-4bdf-b721-48a5c99cb8e7</v>
    <v>en-GB</v>
    <v>Map</v>
  </rv>
  <rv s="0">
    <v>536870912</v>
    <v>Municipality of Beltinci</v>
    <v>9bef4396-7834-4e89-8a71-3735c39c837c</v>
    <v>en-GB</v>
    <v>Map</v>
  </rv>
  <rv s="0">
    <v>536870912</v>
    <v>Municipality of Bled</v>
    <v>d22f33ac-dfad-42d4-96a3-6c14611c338e</v>
    <v>en-GB</v>
    <v>Map</v>
  </rv>
  <rv s="0">
    <v>536870912</v>
    <v>Bohinj Municipality</v>
    <v>70a7ae97-dd74-45bf-ad1e-f34e0c54d3da</v>
    <v>en-GB</v>
    <v>Map</v>
  </rv>
  <rv s="0">
    <v>536870912</v>
    <v>Municipality of Bovec</v>
    <v>3dbad65b-0a46-b2fe-4229-cd346b82cfe8</v>
    <v>en-GB</v>
    <v>Map</v>
  </rv>
  <rv s="0">
    <v>536870912</v>
    <v>Municipality of Brda</v>
    <v>8706e65c-319b-4d94-4a64-e8a1f09ca2fa</v>
    <v>en-GB</v>
    <v>Map</v>
  </rv>
  <rv s="0">
    <v>536870912</v>
    <v>Municipality of Brezovica</v>
    <v>4b143cea-bac0-dee4-b861-8e14139e781e</v>
    <v>en-GB</v>
    <v>Map</v>
  </rv>
  <rv s="0">
    <v>536870912</v>
    <v>Municipality of Brežice</v>
    <v>8535b92e-e877-460a-af8f-6671983c8c81</v>
    <v>en-GB</v>
    <v>Map</v>
  </rv>
  <rv s="0">
    <v>536870912</v>
    <v>City Municipality of Celje</v>
    <v>5448cb43-700f-4546-8569-ad374b1c670b</v>
    <v>en-GB</v>
    <v>Map</v>
  </rv>
  <rv s="0">
    <v>536870912</v>
    <v>Municipality of Črenšovci</v>
    <v>5daa3032-e789-47e1-ab7c-d1d07e94ebc3</v>
    <v>en-GB</v>
    <v>Map</v>
  </rv>
  <rv s="0">
    <v>536870912</v>
    <v>Municipality of Destrnik</v>
    <v>872cd5ee-f057-44f0-897a-1fa370dc1d57</v>
    <v>en-GB</v>
    <v>Map</v>
  </rv>
  <rv s="0">
    <v>536870912</v>
    <v>Municipality of Divača</v>
    <v>cc9661a9-2ecf-4c19-9afd-afafee80f680</v>
    <v>en-GB</v>
    <v>Map</v>
  </rv>
  <rv s="0">
    <v>536870912</v>
    <v>Municipality of Dobrepolje</v>
    <v>9445b929-d2c6-6874-ec87-29f93f7564dc</v>
    <v>en-GB</v>
    <v>Map</v>
  </rv>
  <rv s="0">
    <v>536870912</v>
    <v>Municipality of Dobrova–Polhov Gradec</v>
    <v>a41dfdc8-e1bd-4d23-a960-8e5a1d077f02</v>
    <v>en-GB</v>
    <v>Map</v>
  </rv>
  <rv s="0">
    <v>536870912</v>
    <v>Municipality of Dol pri Ljubljani</v>
    <v>477a8d0d-8575-4212-be19-783c6ad90b05</v>
    <v>en-GB</v>
    <v>Map</v>
  </rv>
  <rv s="0">
    <v>536870912</v>
    <v>Municipality of Duplek</v>
    <v>ce314c0f-8d0c-2ef8-d81d-f76a543937ff</v>
    <v>en-GB</v>
    <v>Map</v>
  </rv>
  <rv s="0">
    <v>536870912</v>
    <v>Municipality of Gorenja Vas–Poljane</v>
    <v>82a5c332-c591-1246-be55-faf20094676e</v>
    <v>en-GB</v>
    <v>Map</v>
  </rv>
  <rv s="0">
    <v>536870912</v>
    <v>Municipality of Gorišnica</v>
    <v>778dee11-22c3-cab7-0ece-21d7c8d8c0b5</v>
    <v>en-GB</v>
    <v>Map</v>
  </rv>
  <rv s="0">
    <v>536870912</v>
    <v>Municipality of Gornji Grad</v>
    <v>d38afdb1-5bd4-4ab1-8d8f-fef8042cb7b1</v>
    <v>en-GB</v>
    <v>Map</v>
  </rv>
  <rv s="0">
    <v>536870912</v>
    <v>Municipality of Gornji Petrovci</v>
    <v>7234f13b-e596-4f77-b637-9fbdf41fa328</v>
    <v>en-GB</v>
    <v>Map</v>
  </rv>
  <rv s="0">
    <v>536870912</v>
    <v>Municipality of Grosuplje</v>
    <v>24c6acfb-3390-4af4-982d-6b58e1fe3afe</v>
    <v>en-GB</v>
    <v>Map</v>
  </rv>
  <rv s="0">
    <v>536870912</v>
    <v>Hrastnik Municipality</v>
    <v>94e901c0-a700-44c1-8134-b4212b6f6967</v>
    <v>en-GB</v>
    <v>Map</v>
  </rv>
  <rv s="0">
    <v>536870912</v>
    <v>Municipality of Hrpelje-Kozina</v>
    <v>829ee96f-2640-1af6-c541-7be0ed0c63ef</v>
    <v>en-GB</v>
    <v>Map</v>
  </rv>
  <rv s="0">
    <v>536870912</v>
    <v>Ig Municipality</v>
    <v>f670f221-cd60-a73f-d01a-d77448677c41</v>
    <v>en-GB</v>
    <v>Map</v>
  </rv>
  <rv s="0">
    <v>536870912</v>
    <v>Municipality of Ilirska Bistrica</v>
    <v>0012cd22-ec2f-44ff-a277-0a9209b17616</v>
    <v>en-GB</v>
    <v>Map</v>
  </rv>
  <rv s="0">
    <v>536870912</v>
    <v>Municipality of Jesenice</v>
    <v>c4918381-5682-414f-bd5d-e1a6f7c3ebb6</v>
    <v>en-GB</v>
    <v>Map</v>
  </rv>
  <rv s="0">
    <v>536870912</v>
    <v>Municipality of Kidričevo</v>
    <v>95d831e0-4a31-4e9b-9b80-c894da1ae7db</v>
    <v>en-GB</v>
    <v>Map</v>
  </rv>
  <rv s="0">
    <v>536870912</v>
    <v>Kobarid Municipality</v>
    <v>2a4cba2d-bf96-465f-9bb3-73b091cfc4bc</v>
    <v>en-GB</v>
    <v>Map</v>
  </rv>
  <rv s="0">
    <v>536870912</v>
    <v>Komen Municipality</v>
    <v>9df8677d-7209-b583-b423-55b3d8997b6b</v>
    <v>en-GB</v>
    <v>Map</v>
  </rv>
  <rv s="0">
    <v>536870912</v>
    <v>City Municipality of Koper</v>
    <v>d3de7f6d-7925-e2c1-7187-80b51ad55eb9</v>
    <v>en-GB</v>
    <v>Map</v>
  </rv>
  <rv s="0">
    <v>536870912</v>
    <v>City Municipality of Kranj</v>
    <v>d7eafa53-5595-f433-f879-e6844c650c86</v>
    <v>en-GB</v>
    <v>Map</v>
  </rv>
  <rv s="0">
    <v>536870912</v>
    <v>Municipality of Kranjska Gora</v>
    <v>d92d5871-12c7-4959-9a58-8018c2c67df3</v>
    <v>en-GB</v>
    <v>Map</v>
  </rv>
  <rv s="0">
    <v>536870912</v>
    <v>Municipality of Kungota</v>
    <v>44545c8a-ea6c-90bd-ed99-43b2f0014bb5</v>
    <v>en-GB</v>
    <v>Map</v>
  </rv>
  <rv s="0">
    <v>536870912</v>
    <v>Municipality of Kuzma</v>
    <v>686415d3-270c-4976-9708-599cdcd35299</v>
    <v>en-GB</v>
    <v>Map</v>
  </rv>
  <rv s="0">
    <v>536870912</v>
    <v>Laško Municipality</v>
    <v>301bdb97-f6e0-c1dd-2e76-b21ceccd57ea</v>
    <v>en-GB</v>
    <v>Map</v>
  </rv>
  <rv s="0">
    <v>536870912</v>
    <v>Municipality of Lenart</v>
    <v>41fcd7f1-b493-476c-af12-2985c31a2f41</v>
    <v>en-GB</v>
    <v>Map</v>
  </rv>
  <rv s="0">
    <v>536870912</v>
    <v>Municipality of Litija</v>
    <v>8643e662-1188-ecff-acca-47ee63a722f3</v>
    <v>en-GB</v>
    <v>Map</v>
  </rv>
  <rv s="0">
    <v>536870912</v>
    <v>Loška Dolina Municipality</v>
    <v>e485c452-386a-4b8e-949c-412a9d18d3c0</v>
    <v>en-GB</v>
    <v>Map</v>
  </rv>
  <rv s="0">
    <v>536870912</v>
    <v>Municipality of Loški Potok</v>
    <v>6802b984-59c0-62c0-bb00-1b4331045a14</v>
    <v>en-GB</v>
    <v>Map</v>
  </rv>
  <rv s="0">
    <v>536870912</v>
    <v>Municipality of Luče</v>
    <v>1b6b2f19-5954-def0-cae4-97ca90fe52a0</v>
    <v>en-GB</v>
    <v>Map</v>
  </rv>
  <rv s="0">
    <v>536870912</v>
    <v>Municipality of Lukovica</v>
    <v>df2c2492-744a-2180-0a62-4d20ab7fc703</v>
    <v>en-GB</v>
    <v>Map</v>
  </rv>
  <rv s="0">
    <v>536870912</v>
    <v>Municipality of Majšperk</v>
    <v>172c3fc2-3a5d-4a26-9af6-924b93061fb0</v>
    <v>en-GB</v>
    <v>Map</v>
  </rv>
  <rv s="0">
    <v>536870912</v>
    <v>Municipality of Mengeš</v>
    <v>b4ae743d-2364-4b6f-8f50-251ec0cde413</v>
    <v>en-GB</v>
    <v>Map</v>
  </rv>
  <rv s="0">
    <v>536870912</v>
    <v>Miren–Kostanjevica Municipality</v>
    <v>40ef47ea-0319-49a2-8509-7181df2880a0</v>
    <v>en-GB</v>
    <v>Map</v>
  </rv>
  <rv s="0">
    <v>536870912</v>
    <v>Municipality of Moravske Toplice</v>
    <v>afcb8131-48c0-4412-c5f1-f7bcad8ac609</v>
    <v>en-GB</v>
    <v>Map</v>
  </rv>
  <rv s="0">
    <v>536870912</v>
    <v>City Municipality of Murska Sobota</v>
    <v>05e2b813-5069-8cbe-6653-24791383acad</v>
    <v>en-GB</v>
    <v>Map</v>
  </rv>
  <rv s="0">
    <v>536870912</v>
    <v>Municipality of Muta</v>
    <v>f8077c81-8f3d-54b8-6076-fb947d0c5778</v>
    <v>en-GB</v>
    <v>Map</v>
  </rv>
  <rv s="0">
    <v>536870912</v>
    <v>Municipality of Naklo</v>
    <v>11380975-60b5-4966-fbe3-9a3250b3a68b</v>
    <v>en-GB</v>
    <v>Map</v>
  </rv>
  <rv s="0">
    <v>536870912</v>
    <v>Municipality of Nazarje</v>
    <v>8bb06049-922f-44f3-8006-9fe6bfb22cf3</v>
    <v>en-GB</v>
    <v>Map</v>
  </rv>
  <rv s="0">
    <v>536870912</v>
    <v>City Municipality of Novo Mesto</v>
    <v>ecb68727-78e6-82f8-03d8-2bd74d3216bd</v>
    <v>en-GB</v>
    <v>Map</v>
  </rv>
  <rv s="0">
    <v>536870912</v>
    <v>Municipality of Ormož</v>
    <v>3c23e56e-c6fc-8c60-e735-693ef913c10d</v>
    <v>en-GB</v>
    <v>Map</v>
  </rv>
  <rv s="0">
    <v>536870912</v>
    <v>Municipality of Osilnica</v>
    <v>ff1963f2-c9be-08fb-02f6-1b8d2b2c3036</v>
    <v>en-GB</v>
    <v>Map</v>
  </rv>
  <rv s="0">
    <v>536870912</v>
    <v>Municipality of Pesnica</v>
    <v>12c6baa9-cdac-e528-61fd-44e3449331d0</v>
    <v>en-GB</v>
    <v>Map</v>
  </rv>
  <rv s="0">
    <v>536870912</v>
    <v>Municipality of Pivka</v>
    <v>69d42788-fc69-40d4-af00-15bd96297795</v>
    <v>en-GB</v>
    <v>Map</v>
  </rv>
  <rv s="0">
    <v>536870912</v>
    <v>Municipality of Postojna</v>
    <v>dd32dd11-8a80-4071-862f-8f4d834587ba</v>
    <v>en-GB</v>
    <v>Map</v>
  </rv>
  <rv s="0">
    <v>536870912</v>
    <v>Municipality of Rače-Fram</v>
    <v>58cea260-cf6d-130e-955f-75446f99d042</v>
    <v>en-GB</v>
    <v>Map</v>
  </rv>
  <rv s="0">
    <v>536870912</v>
    <v>Municipality of Radenci</v>
    <v>d24d6079-5c53-6f39-1610-f4262eed09bd</v>
    <v>en-GB</v>
    <v>Map</v>
  </rv>
  <rv s="0">
    <v>536870912</v>
    <v>Municipality of Radlje ob Dravi</v>
    <v>faef4ce0-028b-1997-16c0-11374da11083</v>
    <v>en-GB</v>
    <v>Map</v>
  </rv>
  <rv s="0">
    <v>536870912</v>
    <v>Municipality of Ribnica</v>
    <v>9df4ab22-5e42-1f7e-a74f-d1da8b718ea8</v>
    <v>en-GB</v>
    <v>Map</v>
  </rv>
  <rv s="0">
    <v>536870912</v>
    <v>Municipality of Rogaška Slatina</v>
    <v>704d0b89-cc99-6d2e-afbd-85da1e3a309e</v>
    <v>en-GB</v>
    <v>Map</v>
  </rv>
  <rv s="0">
    <v>536870912</v>
    <v>Municipality of Rogatec</v>
    <v>bc705953-b090-4299-84cb-1cc3e80d18c2</v>
    <v>en-GB</v>
    <v>Map</v>
  </rv>
  <rv s="0">
    <v>536870912</v>
    <v>Municipality of Ruše</v>
    <v>fa881299-d55e-4b33-a067-7da80ca0ba11</v>
    <v>en-GB</v>
    <v>Map</v>
  </rv>
  <rv s="0">
    <v>536870912</v>
    <v>Municipality of Semič</v>
    <v>db1f2f4a-80bb-ac15-e657-2433a69f8bf2</v>
    <v>en-GB</v>
    <v>Map</v>
  </rv>
  <rv s="0">
    <v>536870912</v>
    <v>Municipality of Sevnica</v>
    <v>35e0a39f-7973-41d4-8057-b1414abaf87e</v>
    <v>en-GB</v>
    <v>Map</v>
  </rv>
  <rv s="0">
    <v>536870912</v>
    <v>Municipality of Sežana</v>
    <v>8afe5878-39dc-438b-4114-ef612d14f40b</v>
    <v>en-GB</v>
    <v>Map</v>
  </rv>
  <rv s="0">
    <v>536870912</v>
    <v>City Municipality of Slovenj Gradec</v>
    <v>309d93b6-7675-411c-b968-258e6b7d8b0f</v>
    <v>en-GB</v>
    <v>Map</v>
  </rv>
  <rv s="0">
    <v>536870912</v>
    <v>Municipality of Šenčur</v>
    <v>ca24f4d6-78d3-cbdf-5cf1-524b2b4e960f</v>
    <v>en-GB</v>
    <v>Map</v>
  </rv>
  <rv s="0">
    <v>536870912</v>
    <v>Municipality of Šentilj</v>
    <v>be951893-e5d9-40b5-882a-96da6ddcdd18</v>
    <v>en-GB</v>
    <v>Map</v>
  </rv>
  <rv s="0">
    <v>536870912</v>
    <v>Municipality of Šentjur</v>
    <v>d1d1359a-ca60-4335-b889-9169c2f46fed</v>
    <v>en-GB</v>
    <v>Map</v>
  </rv>
  <rv s="0">
    <v>536870912</v>
    <v>Municipality of Škocjan</v>
    <v>1d48bed2-934f-4331-bfa1-9139441ebe51</v>
    <v>en-GB</v>
    <v>Map</v>
  </rv>
  <rv s="0">
    <v>536870912</v>
    <v>Municipality of Škofja Loka</v>
    <v>15e2d3a1-0921-48e4-9cba-ada833e53279</v>
    <v>en-GB</v>
    <v>Map</v>
  </rv>
  <rv s="0">
    <v>536870912</v>
    <v>Municipality of Šoštanj</v>
    <v>087d824f-75aa-4050-96df-3a5dab14d8c7</v>
    <v>en-GB</v>
    <v>Map</v>
  </rv>
  <rv s="0">
    <v>536870912</v>
    <v>Municipality of Trebnje</v>
    <v>2551f98c-fd81-46cd-9704-90d5157b8a7d</v>
    <v>en-GB</v>
    <v>Map</v>
  </rv>
  <rv s="0">
    <v>536870912</v>
    <v>Municipality of Tržič</v>
    <v>b478781d-dd10-af6a-0efd-f8010ff3aefd</v>
    <v>en-GB</v>
    <v>Map</v>
  </rv>
  <rv s="0">
    <v>536870912</v>
    <v>Municipality of Turnišče</v>
    <v>fd350329-24bd-4322-9855-1ae9bbd787d1</v>
    <v>en-GB</v>
    <v>Map</v>
  </rv>
  <rv s="0">
    <v>536870912</v>
    <v>Municipality of Velike Lašče</v>
    <v>9f9bc323-2682-3f3c-66d9-9f811ced26f0</v>
    <v>en-GB</v>
    <v>Map</v>
  </rv>
  <rv s="0">
    <v>536870912</v>
    <v>Municipality of Videm</v>
    <v>7d09ed20-8b8b-4203-7009-eb3fbae59451</v>
    <v>en-GB</v>
    <v>Map</v>
  </rv>
  <rv s="0">
    <v>536870912</v>
    <v>Municipality of Vojnik</v>
    <v>811ebf57-dd97-492e-ac84-d14a067994ec</v>
    <v>en-GB</v>
    <v>Map</v>
  </rv>
  <rv s="0">
    <v>536870912</v>
    <v>Municipality of Vrhnika</v>
    <v>38f8778f-7b02-4c8f-a186-99d42dc7ce83</v>
    <v>en-GB</v>
    <v>Map</v>
  </rv>
  <rv s="0">
    <v>536870912</v>
    <v>Municipality of Vuzenica</v>
    <v>36d6761e-9889-2ccf-8be6-8df212dcd3d1</v>
    <v>en-GB</v>
    <v>Map</v>
  </rv>
  <rv s="0">
    <v>536870912</v>
    <v>Municipality of Železniki</v>
    <v>b9f73d63-e80b-8fad-00e8-10df8b61f80c</v>
    <v>en-GB</v>
    <v>Map</v>
  </rv>
  <rv s="0">
    <v>536870912</v>
    <v>Municipality of Žiri</v>
    <v>a5fe8a66-0871-b51c-52f6-fc56b709e4d3</v>
    <v>en-GB</v>
    <v>Map</v>
  </rv>
  <rv s="0">
    <v>536870912</v>
    <v>Municipality of Bistrica ob Sotli</v>
    <v>34f5707e-443e-4c35-bf5f-8a6e014f3ade</v>
    <v>en-GB</v>
    <v>Map</v>
  </rv>
  <rv s="0">
    <v>536870912</v>
    <v>Municipality of Bloke</v>
    <v>81844042-134b-ade4-b6af-19673540e55a</v>
    <v>en-GB</v>
    <v>Map</v>
  </rv>
  <rv s="0">
    <v>536870912</v>
    <v>Municipality of Braslovče</v>
    <v>5c3cb026-5918-49e6-a366-62519b4f7fce</v>
    <v>en-GB</v>
    <v>Map</v>
  </rv>
  <rv s="0">
    <v>536870912</v>
    <v>Municipality of Cankova</v>
    <v>c4cd8384-ca99-4519-88f7-0c8ea9d00655</v>
    <v>en-GB</v>
    <v>Map</v>
  </rv>
  <rv s="0">
    <v>536870912</v>
    <v>Municipality of Dobje</v>
    <v>6248b25f-0560-eca6-7148-61c3c7eb5aa5</v>
    <v>en-GB</v>
    <v>Map</v>
  </rv>
  <rv s="0">
    <v>536870912</v>
    <v>Municipality of Dobrna</v>
    <v>22bff8d4-8c8c-449f-b90f-b1b4470be361</v>
    <v>en-GB</v>
    <v>Map</v>
  </rv>
  <rv s="0">
    <v>536870912</v>
    <v>Municipality of Dobrovnik</v>
    <v>3f50f1ce-1a62-4cb3-8d03-24472f0281e1</v>
    <v>en-GB</v>
    <v>Map</v>
  </rv>
  <rv s="0">
    <v>536870912</v>
    <v>Dolenjske Toplice Municipality</v>
    <v>830d8042-fb73-42b1-d215-2d72ef4a68ba</v>
    <v>en-GB</v>
    <v>Map</v>
  </rv>
  <rv s="0">
    <v>536870912</v>
    <v>Municipality of Grad</v>
    <v>93d9eb01-47d2-631f-ba05-a9db08affa8b</v>
    <v>en-GB</v>
    <v>Map</v>
  </rv>
  <rv s="0">
    <v>536870912</v>
    <v>Municipality of Hajdina</v>
    <v>a47a1372-d3fd-9c76-69dd-1f74f6d59feb</v>
    <v>en-GB</v>
    <v>Map</v>
  </rv>
  <rv s="0">
    <v>536870912</v>
    <v>Municipality of Hoče-Slivnica</v>
    <v>7b5c4ad5-7d8e-bd65-1713-96ba30f890b9</v>
    <v>en-GB</v>
    <v>Map</v>
  </rv>
  <rv s="0">
    <v>536870912</v>
    <v>Municipality of Hodoš</v>
    <v>36eafae6-24a1-48f2-8677-04ea6cc19fdb</v>
    <v>en-GB</v>
    <v>Map</v>
  </rv>
  <rv s="0">
    <v>536870912</v>
    <v>Municipality of Horjul</v>
    <v>1b15adb4-fda2-957c-5728-4b5ae73adb17</v>
    <v>en-GB</v>
    <v>Map</v>
  </rv>
  <rv s="0">
    <v>536870912</v>
    <v>Municipality of Jezersko</v>
    <v>adf4417c-70c5-b6e4-b2b4-c3150ddee49e</v>
    <v>en-GB</v>
    <v>Map</v>
  </rv>
  <rv s="0">
    <v>536870912</v>
    <v>Komenda Municipality</v>
    <v>46827302-9d16-4bc4-8395-1553b7a56a4a</v>
    <v>en-GB</v>
    <v>Map</v>
  </rv>
  <rv s="0">
    <v>536870912</v>
    <v>Kostel Municipality</v>
    <v>3d02add7-0ed3-44a9-abe3-cbd5ba7de8a9</v>
    <v>en-GB</v>
    <v>Map</v>
  </rv>
  <rv s="0">
    <v>536870912</v>
    <v>Municipality of Križevci</v>
    <v>89b4a194-526f-4384-ac61-561640fe2a3e</v>
    <v>en-GB</v>
    <v>Map</v>
  </rv>
  <rv s="0">
    <v>536870912</v>
    <v>Municipality of Lovrenc na Pohorju</v>
    <v>1131334e-4177-47a5-8935-9bc1b8c845af</v>
    <v>en-GB</v>
    <v>Map</v>
  </rv>
  <rv s="0">
    <v>536870912</v>
    <v>Municipality of Miklavž na Dravskem Polju</v>
    <v>ea68566a-545a-44f9-9a6c-5544e94480cc</v>
    <v>en-GB</v>
    <v>Map</v>
  </rv>
  <rv s="0">
    <v>536870912</v>
    <v>Mirna Peč Municipality</v>
    <v>b8f2d548-4947-ab86-9cbb-65b24b559582</v>
    <v>en-GB</v>
    <v>Map</v>
  </rv>
  <rv s="0">
    <v>536870912</v>
    <v>Municipality of Prebold</v>
    <v>8fded940-5b8d-4940-a2cc-6f53fb4de6eb</v>
    <v>en-GB</v>
    <v>Map</v>
  </rv>
  <rv s="0">
    <v>536870912</v>
    <v>Municipality of Razkrižje</v>
    <v>1fe228a1-de9a-4065-ba7c-4943411fe572</v>
    <v>en-GB</v>
    <v>Map</v>
  </rv>
  <rv s="0">
    <v>536870912</v>
    <v>Municipality of Sodražica</v>
    <v>faf2102c-a652-501a-6560-c70c946f87b3</v>
    <v>en-GB</v>
    <v>Map</v>
  </rv>
  <rv s="0">
    <v>536870912</v>
    <v>Municipality of Solčava</v>
    <v>1988486a-930a-92f0-bc88-f7b00a880de5</v>
    <v>en-GB</v>
    <v>Map</v>
  </rv>
  <rv s="0">
    <v>536870912</v>
    <v>Municipality of Sveti Andraž v Slovenskih Goricah</v>
    <v>9ecfbead-a9dd-5095-a8f5-8ab94a0e81cb</v>
    <v>en-GB</v>
    <v>Map</v>
  </rv>
  <rv s="0">
    <v>536870912</v>
    <v>Municipality of Šempeter-Vrtojba</v>
    <v>4c7b336a-886e-4632-90ba-0a143f939cf8</v>
    <v>en-GB</v>
    <v>Map</v>
  </rv>
  <rv s="0">
    <v>536870912</v>
    <v>Municipality of Trnovska Vas</v>
    <v>6ec91fbd-72b7-40bf-86fc-bfe535a0ea48</v>
    <v>en-GB</v>
    <v>Map</v>
  </rv>
  <rv s="0">
    <v>536870912</v>
    <v>Municipality of Veržej</v>
    <v>d07fa182-24a5-4b92-a267-208e6b60fe5f</v>
    <v>en-GB</v>
    <v>Map</v>
  </rv>
  <rv s="0">
    <v>536870912</v>
    <v>Municipality of Žalec</v>
    <v>3b045e42-9802-1691-998e-c2fb7791b3b3</v>
    <v>en-GB</v>
    <v>Map</v>
  </rv>
  <rv s="0">
    <v>536870912</v>
    <v>Municipality of Žirovnica</v>
    <v>7cf15cfc-de56-1fda-b1d0-73f139585af6</v>
    <v>en-GB</v>
    <v>Map</v>
  </rv>
  <rv s="0">
    <v>536870912</v>
    <v>Municipality of Šmartno pri Litiji</v>
    <v>d520f250-5faa-4c03-af72-5ad0c897927c</v>
    <v>en-GB</v>
    <v>Map</v>
  </rv>
  <rv s="0">
    <v>536870912</v>
    <v>Municipality of Apače</v>
    <v>88e8afa4-3f8b-438b-8aeb-12de59333fb4</v>
    <v>en-GB</v>
    <v>Map</v>
  </rv>
  <rv s="0">
    <v>536870912</v>
    <v>Municipality of Cirkulane</v>
    <v>b2b430b8-654b-4ca4-a8e0-5c37c2868eab</v>
    <v>en-GB</v>
    <v>Map</v>
  </rv>
  <rv s="0">
    <v>536870912</v>
    <v>Mokronog-Trebelno Municipality</v>
    <v>9c5ccbb1-2766-6ba1-93de-f8865ce00a05</v>
    <v>en-GB</v>
    <v>Map</v>
  </rv>
  <rv s="0">
    <v>536870912</v>
    <v>Municipality of Renče–Vogrsko</v>
    <v>9634dd56-dadf-4d1d-9a12-b65f14d57168</v>
    <v>en-GB</v>
    <v>Map</v>
  </rv>
  <rv s="0">
    <v>536870912</v>
    <v>Municipality of Straža</v>
    <v>6600a980-fec2-fed4-9414-71daca7fc01a</v>
    <v>en-GB</v>
    <v>Map</v>
  </rv>
  <rv s="0">
    <v>536870912</v>
    <v>Municipality of Sveta Trojica v Slovenskih Goricah</v>
    <v>bafc1328-988b-ccd4-0649-480da11121d6</v>
    <v>en-GB</v>
    <v>Map</v>
  </rv>
  <rv s="0">
    <v>536870912</v>
    <v>Municipality of Sveti Tomaž</v>
    <v>b2260fe5-ca56-4f13-91d5-93cb17c7836f</v>
    <v>en-GB</v>
    <v>Map</v>
  </rv>
  <rv s="0">
    <v>536870912</v>
    <v>Municipality of Šmarješke Toplice</v>
    <v>c7e55001-78c9-41db-85b5-e8e9bd21ad85</v>
    <v>en-GB</v>
    <v>Map</v>
  </rv>
  <rv s="0">
    <v>536870912</v>
    <v>Municipality of Gorje</v>
    <v>c1e95d1f-74e2-b67b-dd6c-0627fe6fb1a5</v>
    <v>en-GB</v>
    <v>Map</v>
  </rv>
  <rv s="0">
    <v>536870912</v>
    <v>Municipality of Log-Dragomer</v>
    <v>d5de88e3-5ac6-53ea-0f27-707b45e685d1</v>
    <v>en-GB</v>
    <v>Map</v>
  </rv>
  <rv s="0">
    <v>536870912</v>
    <v>Municipality of Sveti Jurij v Slovenskih Goricah</v>
    <v>b0016596-5082-37e9-6354-8b17ed79978c</v>
    <v>en-GB</v>
    <v>Map</v>
  </rv>
  <rv s="0">
    <v>536870912</v>
    <v>Municipality of Šentrupert</v>
    <v>33bdae3d-5f12-f41a-7783-9812948801e6</v>
    <v>en-GB</v>
    <v>Map</v>
  </rv>
  <rv s="3">
    <v>52</v>
  </rv>
  <rv s="1">
    <fb>0.18626997966917902</fb>
    <v>23</v>
  </rv>
  <rv s="1">
    <fb>0.31</fb>
    <v>23</v>
  </rv>
  <rv s="1">
    <fb>4.1950001716613797E-2</fb>
    <v>31</v>
  </rv>
  <rv s="1">
    <fb>1144654</fb>
    <v>24</v>
  </rv>
  <rv s="9">
    <v>#VALUE!</v>
    <v>en-GB</v>
    <v>4982784a-4967-52d1-c08e-ffd0f091566e</v>
    <v>536870912</v>
    <v>1</v>
    <v>144</v>
    <v>69</v>
    <v>Slovenia</v>
    <v>19</v>
    <v>20</v>
    <v>Map</v>
    <v>21</v>
    <v>81</v>
    <v>SI</v>
    <v>937</v>
    <v>938</v>
    <v>939</v>
    <v>940</v>
    <v>941</v>
    <v>942</v>
    <v>943</v>
    <v>944</v>
    <v>945</v>
    <v>EUR</v>
    <v>Slovenia, officially the Republic of Slovenia, is a country in southern Central Europe. Slovenia is bordered by Italy to the west, Austria to the north, Hungary to the northeast, Croatia to the south and southeast, and a short coastline within ...</v>
    <v>946</v>
    <v>947</v>
    <v>948</v>
    <v>949</v>
    <v>950</v>
    <v>951</v>
    <v>952</v>
    <v>953</v>
    <v>954</v>
    <v>955</v>
    <v>942</v>
    <v>958</v>
    <v>959</v>
    <v>960</v>
    <v>961</v>
    <v>962</v>
    <v>963</v>
    <v>Slovenia</v>
    <v>National anthem of Slovenia</v>
    <v>964</v>
    <v>Republika Slovenija</v>
    <v>965</v>
    <v>966</v>
    <v>967</v>
    <v>666</v>
    <v>968</v>
    <v>969</v>
    <v>970</v>
    <v>971</v>
    <v>972</v>
    <v>973</v>
    <v>974</v>
    <v>1100</v>
    <v>1101</v>
    <v>53</v>
    <v>1102</v>
    <v>1103</v>
    <v>Slovenia</v>
    <v>1104</v>
    <v>mdp/vdpid/212</v>
  </rv>
  <rv s="0">
    <v>536870912</v>
    <v>Spain</v>
    <v>1baf9d59-f443-e9f4-6e49-de048a073e3f</v>
    <v>en-GB</v>
    <v>Map</v>
  </rv>
  <rv s="1">
    <fb>0.52577247440306896</fb>
    <v>23</v>
  </rv>
  <rv s="1">
    <fb>505990</fb>
    <v>24</v>
  </rv>
  <rv s="1">
    <fb>196000</fb>
    <v>24</v>
  </rv>
  <rv s="1">
    <fb>7.9</fb>
    <v>25</v>
  </rv>
  <rv s="1">
    <fb>34</fb>
    <v>26</v>
  </rv>
  <rv s="0">
    <v>536870912</v>
    <v>Madrid</v>
    <v>a497c067-c4c6-4bf4-9a5d-34fd30589bda</v>
    <v>en-GB</v>
    <v>Map</v>
  </rv>
  <rv s="1">
    <fb>244002.18</fb>
    <v>24</v>
  </rv>
  <rv s="1">
    <fb>110.96151904206</fb>
    <v>27</v>
  </rv>
  <rv s="1">
    <fb>6.9953624171701497E-3</fb>
    <v>23</v>
  </rv>
  <rv s="1">
    <fb>5355.9870055822103</fb>
    <v>24</v>
  </rv>
  <rv s="1">
    <fb>1.26</fb>
    <v>25</v>
  </rv>
  <rv s="1">
    <fb>0.36936209528965797</fb>
    <v>23</v>
  </rv>
  <rv s="1">
    <fb>72.955546118337793</fb>
    <v>28</v>
  </rv>
  <rv s="1">
    <fb>1394116310768.6299</fb>
    <v>30</v>
  </rv>
  <rv s="1">
    <fb>1.0271029</fb>
    <v>23</v>
  </rv>
  <rv s="1">
    <fb>0.88853009999999999</fb>
    <v>23</v>
  </rv>
  <rv s="2">
    <v>19</v>
    <v>21</v>
    <v>146</v>
    <v>7</v>
    <v>0</v>
    <v>Image of Spain</v>
  </rv>
  <rv s="1">
    <fb>2.5</fb>
    <v>28</v>
  </rv>
  <rv s="0">
    <v>805306368</v>
    <v>Felipe VI (Monarch)</v>
    <v>ec86fb82-ddbc-286a-d1a7-3644682c1efc</v>
    <v>en-GB</v>
    <v>Generic</v>
  </rv>
  <rv s="0">
    <v>805306368</v>
    <v>Pedro Sánchez (Prime minister)</v>
    <v>9e0d6cf3-f466-7b6f-0a92-aa23020fc120</v>
    <v>en-GB</v>
    <v>Generic</v>
  </rv>
  <rv s="3">
    <v>53</v>
  </rv>
  <rv s="4">
    <v>https://www.bing.com/search?q=spain&amp;form=skydnc</v>
    <v>Learn more on Bing</v>
  </rv>
  <rv s="1">
    <fb>83.334146341463395</fb>
    <v>28</v>
  </rv>
  <rv s="1">
    <fb>797285840000</fb>
    <v>30</v>
  </rv>
  <rv s="1">
    <fb>5.6</fb>
    <v>29</v>
  </rv>
  <rv s="3">
    <v>54</v>
  </rv>
  <rv s="1">
    <fb>0.24229018520000001</fb>
    <v>23</v>
  </rv>
  <rv s="1">
    <fb>3.8723000000000001</fb>
    <v>25</v>
  </rv>
  <rv s="1">
    <fb>47615034</fb>
    <v>24</v>
  </rv>
  <rv s="1">
    <fb>0.23399999999999999</fb>
    <v>23</v>
  </rv>
  <rv s="1">
    <fb>0.254</fb>
    <v>23</v>
  </rv>
  <rv s="1">
    <fb>2.1000000000000001E-2</fb>
    <v>23</v>
  </rv>
  <rv s="1">
    <fb>6.2E-2</fb>
    <v>23</v>
  </rv>
  <rv s="1">
    <fb>0.122</fb>
    <v>23</v>
  </rv>
  <rv s="1">
    <fb>0.17199999999999999</fb>
    <v>23</v>
  </rv>
  <rv s="1">
    <fb>0.57492000579834002</fb>
    <v>23</v>
  </rv>
  <rv s="0">
    <v>536870912</v>
    <v>Andalusia</v>
    <v>b009454b-b921-1477-fbf3-ea4c66d409b5</v>
    <v>en-GB</v>
    <v>Map</v>
  </rv>
  <rv s="0">
    <v>536870912</v>
    <v>Catalonia</v>
    <v>54afd4ed-d6c4-c6c9-2f8d-10440795b196</v>
    <v>en-GB</v>
    <v>Map</v>
  </rv>
  <rv s="0">
    <v>536870912</v>
    <v>Community of Madrid</v>
    <v>854c08ed-f6d7-c812-1a3f-46928ae0597e</v>
    <v>en-GB</v>
    <v>Map</v>
  </rv>
  <rv s="0">
    <v>536870912</v>
    <v>Land of Valencia</v>
    <v>d1a45f13-aca9-6854-cb23-92573a279216</v>
    <v>en-GB</v>
    <v>Map</v>
  </rv>
  <rv s="0">
    <v>536870912</v>
    <v>Galicia</v>
    <v>70c91f08-f55c-f98a-047e-aa9228ed4253</v>
    <v>en-GB</v>
    <v>Map</v>
  </rv>
  <rv s="0">
    <v>536870912</v>
    <v>Castile and León</v>
    <v>7fc8f34d-7f31-b8c6-34d4-545cb3920adf</v>
    <v>en-GB</v>
    <v>Map</v>
  </rv>
  <rv s="0">
    <v>536870912</v>
    <v>Basque Autonomous Community</v>
    <v>27cbb013-d521-0f66-7c87-67bad92e92f5</v>
    <v>en-GB</v>
    <v>Map</v>
  </rv>
  <rv s="0">
    <v>536870912</v>
    <v>Canary Islands</v>
    <v>e5f4f633-d27e-9012-be27-a85d7ed21999</v>
    <v>en-GB</v>
    <v>Map</v>
  </rv>
  <rv s="0">
    <v>536870912</v>
    <v>Castile-La Mancha</v>
    <v>1e79c598-5619-e707-75d9-40410db3c0b2</v>
    <v>en-GB</v>
    <v>Map</v>
  </rv>
  <rv s="0">
    <v>536870912</v>
    <v>Region of Murcia</v>
    <v>e697a468-5c9d-9a42-68ac-b04781a55abd</v>
    <v>en-GB</v>
    <v>Map</v>
  </rv>
  <rv s="0">
    <v>536870912</v>
    <v>Aragon</v>
    <v>66482df7-7a8d-eb53-1b74-7702eb8f6ab7</v>
    <v>en-GB</v>
    <v>Map</v>
  </rv>
  <rv s="0">
    <v>536870912</v>
    <v>Asturias</v>
    <v>6880b28a-27ed-46a3-3b3f-93553df34103</v>
    <v>en-GB</v>
    <v>Map</v>
  </rv>
  <rv s="0">
    <v>536870912</v>
    <v>Extremadura</v>
    <v>60c245e4-f9c9-d637-1ff7-50148c20166f</v>
    <v>en-GB</v>
    <v>Map</v>
  </rv>
  <rv s="0">
    <v>536870912</v>
    <v>Navarre</v>
    <v>bd2c46e0-0dec-2a95-cf06-e23728a2a0ed</v>
    <v>en-GB</v>
    <v>Map</v>
  </rv>
  <rv s="0">
    <v>536870912</v>
    <v>Cantabria</v>
    <v>ff0ffbe3-172a-ecd8-17cd-6f2f89c9d0dd</v>
    <v>en-GB</v>
    <v>Map</v>
  </rv>
  <rv s="0">
    <v>536870912</v>
    <v>La Rioja</v>
    <v>c27fd34e-d1ab-5145-cc6e-9d85b07f919e</v>
    <v>en-GB</v>
    <v>Map</v>
  </rv>
  <rv s="0">
    <v>536870912</v>
    <v>Ceuta</v>
    <v>4575b2d9-4933-9d93-b84d-3080054b3dda</v>
    <v>en-GB</v>
    <v>Map</v>
  </rv>
  <rv s="0">
    <v>536870912</v>
    <v>Melilla</v>
    <v>a67b3afb-47dd-d884-afd6-0794c4de12ba</v>
    <v>en-GB</v>
    <v>Map</v>
  </rv>
  <rv s="3">
    <v>55</v>
  </rv>
  <rv s="1">
    <fb>0.14248211393678101</fb>
    <v>23</v>
  </rv>
  <rv s="1">
    <fb>0.13958999633789099</fb>
    <v>31</v>
  </rv>
  <rv s="1">
    <fb>37927409</fb>
    <v>24</v>
  </rv>
  <rv s="6">
    <v>#VALUE!</v>
    <v>en-GB</v>
    <v>1baf9d59-f443-e9f4-6e49-de048a073e3f</v>
    <v>536870912</v>
    <v>1</v>
    <v>149</v>
    <v>37</v>
    <v>Spain</v>
    <v>19</v>
    <v>20</v>
    <v>Map</v>
    <v>21</v>
    <v>81</v>
    <v>ES</v>
    <v>1107</v>
    <v>1108</v>
    <v>1109</v>
    <v>1110</v>
    <v>1111</v>
    <v>1112</v>
    <v>1113</v>
    <v>1114</v>
    <v>1115</v>
    <v>EUR</v>
    <v>Spain, or the Kingdom of Spain, is a country located in Southwestern Europe, with parts of its territory in the Atlantic Ocean, the Mediterranean Sea and Africa. It is the largest country in Southern Europe and the fourth-most populous European ...</v>
    <v>1116</v>
    <v>1117</v>
    <v>1118</v>
    <v>1119</v>
    <v>211</v>
    <v>1120</v>
    <v>1121</v>
    <v>1122</v>
    <v>1123</v>
    <v>1124</v>
    <v>1112</v>
    <v>1127</v>
    <v>1128</v>
    <v>1129</v>
    <v>1130</v>
    <v>216</v>
    <v>1131</v>
    <v>Spain</v>
    <v>Marcha Real</v>
    <v>1132</v>
    <v>Reino de España</v>
    <v>1133</v>
    <v>1134</v>
    <v>1135</v>
    <v>1136</v>
    <v>1137</v>
    <v>343</v>
    <v>1138</v>
    <v>1139</v>
    <v>1140</v>
    <v>1141</v>
    <v>1142</v>
    <v>1161</v>
    <v>1162</v>
    <v>905</v>
    <v>1163</v>
    <v>Spain</v>
    <v>1164</v>
    <v>mdp/vdpid/217</v>
  </rv>
  <rv s="0">
    <v>536870912</v>
    <v>Syria</v>
    <v>0365d9b4-dcc9-76b1-38fe-00d02cbcd68f</v>
    <v>en-GB</v>
    <v>Map</v>
  </rv>
  <rv s="1">
    <fb>0.75810052823612695</fb>
    <v>23</v>
  </rv>
  <rv s="1">
    <fb>185180</fb>
    <v>24</v>
  </rv>
  <rv s="1">
    <fb>239000</fb>
    <v>24</v>
  </rv>
  <rv s="1">
    <fb>23.684999999999999</fb>
    <v>25</v>
  </rv>
  <rv s="1">
    <fb>963</fb>
    <v>26</v>
  </rv>
  <rv s="0">
    <v>536870912</v>
    <v>Damascus</v>
    <v>c59c22f4-d509-942f-a2f4-b31fa809a1b5</v>
    <v>en-GB</v>
    <v>Map</v>
  </rv>
  <rv s="1">
    <fb>28829.954000000002</fb>
    <v>24</v>
  </rv>
  <rv s="1">
    <fb>143.199979473582</fb>
    <v>27</v>
  </rv>
  <rv s="1">
    <fb>0.36702295336413898</fb>
    <v>23</v>
  </rv>
  <rv s="1">
    <fb>974.31713913344902</fb>
    <v>24</v>
  </rv>
  <rv s="1">
    <fb>2.8079999999999998</fb>
    <v>25</v>
  </rv>
  <rv s="1">
    <fb>2.67385503458041E-2</fb>
    <v>23</v>
  </rv>
  <rv s="1">
    <fb>97.791781432638501</fb>
    <v>28</v>
  </rv>
  <rv s="1">
    <fb>0.83</fb>
    <v>29</v>
  </rv>
  <rv s="1">
    <fb>40405006007.208603</fb>
    <v>30</v>
  </rv>
  <rv s="1">
    <fb>0.81663549999999996</fb>
    <v>23</v>
  </rv>
  <rv s="1">
    <fb>0.40051150000000002</fb>
    <v>23</v>
  </rv>
  <rv s="2">
    <v>20</v>
    <v>21</v>
    <v>151</v>
    <v>7</v>
    <v>0</v>
    <v>Image of Syria</v>
  </rv>
  <rv s="1">
    <fb>14</fb>
    <v>28</v>
  </rv>
  <rv s="0">
    <v>805306368</v>
    <v>Bashar al-Assad (President)</v>
    <v>ec76c458-c383-50d3-e178-a29f6935d498</v>
    <v>en-GB</v>
    <v>Generic</v>
  </rv>
  <rv s="0">
    <v>805306368</v>
    <v>Najah al-Attar (Vice president)</v>
    <v>c9571ec4-7ece-2d08-e021-24d1e99422a4</v>
    <v>en-GB</v>
    <v>Generic</v>
  </rv>
  <rv s="0">
    <v>805306368</v>
    <v>Hussein Arnous (Prime minister)</v>
    <v>c287d9bb-f09b-2a46-0b5c-989422f46c52</v>
    <v>en-GB</v>
    <v>Generic</v>
  </rv>
  <rv s="3">
    <v>56</v>
  </rv>
  <rv s="4">
    <v>https://www.bing.com/search?q=syria&amp;form=skydnc</v>
    <v>Learn more on Bing</v>
  </rv>
  <rv s="1">
    <fb>71.778999999999996</fb>
    <v>28</v>
  </rv>
  <rv s="1">
    <fb>31</fb>
    <v>28</v>
  </rv>
  <rv s="1">
    <fb>1.02</fb>
    <v>29</v>
  </rv>
  <rv s="1">
    <fb>0.53691278149999999</fb>
    <v>23</v>
  </rv>
  <rv s="1">
    <fb>1.22</fb>
    <v>25</v>
  </rv>
  <rv s="1">
    <fb>22125249</fb>
    <v>24</v>
  </rv>
  <rv s="1">
    <fb>0.214</fb>
    <v>23</v>
  </rv>
  <rv s="1">
    <fb>0.28699999999999998</fb>
    <v>23</v>
  </rv>
  <rv s="1">
    <fb>7.5999999999999998E-2</fb>
    <v>23</v>
  </rv>
  <rv s="1">
    <fb>0.11599999999999999</fb>
    <v>23</v>
  </rv>
  <rv s="1">
    <fb>0.154</fb>
    <v>23</v>
  </rv>
  <rv s="1">
    <fb>0.44113998413085903</fb>
    <v>23</v>
  </rv>
  <rv s="0">
    <v>536870912</v>
    <v>Damascus Governorate</v>
    <v>abc37172-80e3-0b38-0b56-28a17ec5f75e</v>
    <v>en-GB</v>
    <v>Map</v>
  </rv>
  <rv s="0">
    <v>536870912</v>
    <v>Rif Dimashq Governorate</v>
    <v>0bf8e513-8046-66b0-58f0-27ebba28355f</v>
    <v>en-GB</v>
    <v>Map</v>
  </rv>
  <rv s="0">
    <v>536870912</v>
    <v>Quneitra Governorate</v>
    <v>a65262f8-969c-4091-bb38-ad81d3151c80</v>
    <v>en-GB</v>
    <v>Map</v>
  </rv>
  <rv s="0">
    <v>536870912</v>
    <v>Daraa Governorate</v>
    <v>971ab33c-32f7-607a-f6df-68f8f4ab093e</v>
    <v>en-GB</v>
    <v>Map</v>
  </rv>
  <rv s="0">
    <v>536870912</v>
    <v>As-Suwayda Governorate</v>
    <v>df94cb8c-564c-4586-aa29-316404232f68</v>
    <v>en-GB</v>
    <v>Map</v>
  </rv>
  <rv s="0">
    <v>536870912</v>
    <v>Homs Governorate</v>
    <v>f4bdeeb9-0ed5-9c38-ed69-96466a4d740a</v>
    <v>en-GB</v>
    <v>Map</v>
  </rv>
  <rv s="0">
    <v>536870912</v>
    <v>Tartus Governorate</v>
    <v>b9351e7f-4232-2252-165d-5aac7be40f57</v>
    <v>en-GB</v>
    <v>Map</v>
  </rv>
  <rv s="0">
    <v>536870912</v>
    <v>Latakia Governorate</v>
    <v>31841ca1-6c95-6f01-0ab5-6889d4c3d21c</v>
    <v>en-GB</v>
    <v>Map</v>
  </rv>
  <rv s="0">
    <v>536870912</v>
    <v>Hama Governorate</v>
    <v>b8dbf16b-64c2-e098-8f3a-009959ed70b6</v>
    <v>en-GB</v>
    <v>Map</v>
  </rv>
  <rv s="0">
    <v>536870912</v>
    <v>Idlib Governorate</v>
    <v>519423b9-bc4b-c2ba-752c-72b56bc07188</v>
    <v>en-GB</v>
    <v>Map</v>
  </rv>
  <rv s="0">
    <v>536870912</v>
    <v>Aleppo Governorate</v>
    <v>85ca5ff2-1809-0be9-0086-d75d0526a2a2</v>
    <v>en-GB</v>
    <v>Map</v>
  </rv>
  <rv s="0">
    <v>536870912</v>
    <v>Al-Raqqah Governorate</v>
    <v>0b7a175f-cb0c-4f12-a872-0119ee237677</v>
    <v>en-GB</v>
    <v>Map</v>
  </rv>
  <rv s="0">
    <v>536870912</v>
    <v>Deir ez-Zor Governorate</v>
    <v>73ead33c-8d7c-a2e3-d46b-d38cc25dcbc9</v>
    <v>en-GB</v>
    <v>Map</v>
  </rv>
  <rv s="0">
    <v>536870912</v>
    <v>Al-Hasakah Governorate</v>
    <v>5a14681e-86ef-4e87-8814-e97b2331491b</v>
    <v>en-GB</v>
    <v>Map</v>
  </rv>
  <rv s="3">
    <v>57</v>
  </rv>
  <rv s="1">
    <fb>0.14194682792272501</fb>
    <v>23</v>
  </rv>
  <rv s="1">
    <fb>0.42700000000000005</fb>
    <v>23</v>
  </rv>
  <rv s="1">
    <fb>8.3699998855590804E-2</fb>
    <v>31</v>
  </rv>
  <rv s="1">
    <fb>9358019</fb>
    <v>24</v>
  </rv>
  <rv s="16">
    <v>#VALUE!</v>
    <v>en-GB</v>
    <v>0365d9b4-dcc9-76b1-38fe-00d02cbcd68f</v>
    <v>536870912</v>
    <v>1</v>
    <v>154</v>
    <v>155</v>
    <v>Syria</v>
    <v>19</v>
    <v>20</v>
    <v>Map</v>
    <v>21</v>
    <v>156</v>
    <v>SY</v>
    <v>1167</v>
    <v>1168</v>
    <v>1169</v>
    <v>1170</v>
    <v>1171</v>
    <v>1172</v>
    <v>1173</v>
    <v>1174</v>
    <v>1175</v>
    <v>SYP</v>
    <v>Syria, officially the Syrian Arab Republic, is a country in West Asia located in the Eastern Mediterranean and the Levant. It is bounded by the Mediterranean Sea to the west, Turkey to the north, Iraq to the east and southeast, Jordan to the ...</v>
    <v>1176</v>
    <v>1177</v>
    <v>1178</v>
    <v>1179</v>
    <v>1180</v>
    <v>1181</v>
    <v>1182</v>
    <v>1183</v>
    <v>1184</v>
    <v>1185</v>
    <v>1172</v>
    <v>1189</v>
    <v>1190</v>
    <v>1191</v>
    <v>1192</v>
    <v>1193</v>
    <v>Syria</v>
    <v>Humat ad-Diyar</v>
    <v>337</v>
    <v>الجمهورية العربية السورية</v>
    <v>1194</v>
    <v>1195</v>
    <v>1196</v>
    <v>1197</v>
    <v>1198</v>
    <v>782</v>
    <v>415</v>
    <v>1199</v>
    <v>1200</v>
    <v>1201</v>
    <v>1202</v>
    <v>1217</v>
    <v>1218</v>
    <v>1219</v>
    <v>1220</v>
    <v>Syria</v>
    <v>1221</v>
    <v>mdp/vdpid/222</v>
  </rv>
  <rv s="0">
    <v>536870912</v>
    <v>Tunisia</v>
    <v>aa802665-9964-3c1f-29ff-48957a4ec8c3</v>
    <v>en-GB</v>
    <v>Map</v>
  </rv>
  <rv s="1">
    <fb>0.6483650875386201</fb>
    <v>23</v>
  </rv>
  <rv s="1">
    <fb>163610</fb>
    <v>24</v>
  </rv>
  <rv s="1">
    <fb>48000</fb>
    <v>24</v>
  </rv>
  <rv s="1">
    <fb>17.564</fb>
    <v>25</v>
  </rv>
  <rv s="1">
    <fb>216</fb>
    <v>26</v>
  </rv>
  <rv s="0">
    <v>536870912</v>
    <v>Tunis</v>
    <v>e349670b-9768-7e22-1d6f-0710a82c29f4</v>
    <v>en-GB</v>
    <v>Map</v>
  </rv>
  <rv s="1">
    <fb>29937.387999999999</fb>
    <v>24</v>
  </rv>
  <rv s="1">
    <fb>155.325373517033</fb>
    <v>27</v>
  </rv>
  <rv s="1">
    <fb>6.7200753286380394E-2</fb>
    <v>23</v>
  </rv>
  <rv s="1">
    <fb>1454.6422866221101</fb>
    <v>24</v>
  </rv>
  <rv s="1">
    <fb>2.1970000000000001</fb>
    <v>25</v>
  </rv>
  <rv s="1">
    <fb>6.7662200770589598E-2</fb>
    <v>23</v>
  </rv>
  <rv s="1">
    <fb>88.870388104383395</fb>
    <v>28</v>
  </rv>
  <rv s="1">
    <fb>0.73</fb>
    <v>29</v>
  </rv>
  <rv s="1">
    <fb>38797709923.664101</fb>
    <v>30</v>
  </rv>
  <rv s="1">
    <fb>1.1544597000000001</fb>
    <v>23</v>
  </rv>
  <rv s="1">
    <fb>0.3174652</fb>
    <v>23</v>
  </rv>
  <rv s="2">
    <v>21</v>
    <v>21</v>
    <v>158</v>
    <v>7</v>
    <v>0</v>
    <v>Image of Tunisia</v>
  </rv>
  <rv s="1">
    <fb>14.6</fb>
    <v>28</v>
  </rv>
  <rv s="0">
    <v>805306368</v>
    <v>Kais Saied (President)</v>
    <v>ba3da614-cb0f-3f43-cce6-c6775ce6a666</v>
    <v>en-GB</v>
    <v>Generic</v>
  </rv>
  <rv s="0">
    <v>805306368</v>
    <v>Ahmed Hachani (Prime minister)</v>
    <v>2b82f9c1-76fd-a106-4056-2b3f845c3048</v>
    <v>en-GB</v>
    <v>Generic</v>
  </rv>
  <rv s="3">
    <v>58</v>
  </rv>
  <rv s="4">
    <v>https://www.bing.com/search?q=tunisia&amp;form=skydnc</v>
    <v>Learn more on Bing</v>
  </rv>
  <rv s="1">
    <fb>76.504999999999995</fb>
    <v>28</v>
  </rv>
  <rv s="1">
    <fb>8503230000</fb>
    <v>30</v>
  </rv>
  <rv s="1">
    <fb>43</fb>
    <v>28</v>
  </rv>
  <rv s="1">
    <fb>0.47</fb>
    <v>29</v>
  </rv>
  <rv s="1">
    <fb>0.39783110550000006</fb>
    <v>23</v>
  </rv>
  <rv s="1">
    <fb>1.3025</fb>
    <v>25</v>
  </rv>
  <rv s="1">
    <fb>12356117</fb>
    <v>24</v>
  </rv>
  <rv s="1">
    <fb>0.25600000000000001</fb>
    <v>23</v>
  </rv>
  <rv s="1">
    <fb>0.40899999999999997</fb>
    <v>23</v>
  </rv>
  <rv s="1">
    <fb>7.8E-2</fb>
    <v>23</v>
  </rv>
  <rv s="1">
    <fb>0.46124000549316402</fb>
    <v>23</v>
  </rv>
  <rv s="0">
    <v>536870912</v>
    <v>Ariana Governorate</v>
    <v>1647375a-fc3b-7140-173a-fbc4e2be75fd</v>
    <v>en-GB</v>
    <v>Map</v>
  </rv>
  <rv s="0">
    <v>536870912</v>
    <v>Beja Governorate</v>
    <v>152c4129-fffc-41f6-65a9-9e63bcd66bcd</v>
    <v>en-GB</v>
    <v>Map</v>
  </rv>
  <rv s="0">
    <v>536870912</v>
    <v>Ben Arous Governorate</v>
    <v>c40f7681-1f46-7f78-23e1-935c0b559f42</v>
    <v>en-GB</v>
    <v>Map</v>
  </rv>
  <rv s="0">
    <v>536870912</v>
    <v>Bizerte Governorate</v>
    <v>e8a098db-6a32-f306-c7c7-e50b1fea36a3</v>
    <v>en-GB</v>
    <v>Map</v>
  </rv>
  <rv s="0">
    <v>536870912</v>
    <v>Gabès Governorate</v>
    <v>335e7767-dcbc-0100-98af-4ae7bfd99055</v>
    <v>en-GB</v>
    <v>Map</v>
  </rv>
  <rv s="0">
    <v>536870912</v>
    <v>Gafsa Governorate</v>
    <v>889afdeb-70c2-c3c8-9ff8-150832a3a1c1</v>
    <v>en-GB</v>
    <v>Map</v>
  </rv>
  <rv s="0">
    <v>536870912</v>
    <v>Jendouba Governorate</v>
    <v>79638493-d161-9dc0-dbbe-307681c5864f</v>
    <v>en-GB</v>
    <v>Map</v>
  </rv>
  <rv s="0">
    <v>536870912</v>
    <v>Kairouan Governorate</v>
    <v>b88e6b9a-8edc-0603-cab9-beb613d92292</v>
    <v>en-GB</v>
    <v>Map</v>
  </rv>
  <rv s="0">
    <v>536870912</v>
    <v>Kasserine Governorate</v>
    <v>83ca5f25-6007-f2a0-168a-ed092694b416</v>
    <v>en-GB</v>
    <v>Map</v>
  </rv>
  <rv s="0">
    <v>536870912</v>
    <v>Kebili Governorate</v>
    <v>333a762f-5fe7-2f99-d157-3bb11be20b60</v>
    <v>en-GB</v>
    <v>Map</v>
  </rv>
  <rv s="0">
    <v>536870912</v>
    <v>Manouba Governorate</v>
    <v>f3cb4579-503e-7a5e-17aa-e5ed57cf798f</v>
    <v>en-GB</v>
    <v>Map</v>
  </rv>
  <rv s="0">
    <v>536870912</v>
    <v>Kef Governorate</v>
    <v>becbeec4-31a1-13f6-b6b8-111cb805b7bd</v>
    <v>en-GB</v>
    <v>Map</v>
  </rv>
  <rv s="0">
    <v>536870912</v>
    <v>Mahdia Governorate</v>
    <v>074d2807-abab-add4-8c57-3804b27b3291</v>
    <v>en-GB</v>
    <v>Map</v>
  </rv>
  <rv s="0">
    <v>536870912</v>
    <v>Medenine Governorate</v>
    <v>37e55ec2-572d-9b64-2d56-4bb14b505a5a</v>
    <v>en-GB</v>
    <v>Map</v>
  </rv>
  <rv s="0">
    <v>536870912</v>
    <v>Monastir Governorate</v>
    <v>f0b9899d-30bf-ab61-8f08-75f515416202</v>
    <v>en-GB</v>
    <v>Map</v>
  </rv>
  <rv s="0">
    <v>536870912</v>
    <v>Nabeul Governorate</v>
    <v>1318ff1a-3cbf-3ad6-69d3-de1b8d6da3de</v>
    <v>en-GB</v>
    <v>Map</v>
  </rv>
  <rv s="0">
    <v>536870912</v>
    <v>Sfax Governorate</v>
    <v>c538a140-fc86-4f02-d916-110aaf0827ec</v>
    <v>en-GB</v>
    <v>Map</v>
  </rv>
  <rv s="0">
    <v>536870912</v>
    <v>Sidi Bouzid Governorate</v>
    <v>65a6a4d7-311c-3787-9b5f-0c129e9fd03e</v>
    <v>en-GB</v>
    <v>Map</v>
  </rv>
  <rv s="0">
    <v>536870912</v>
    <v>Siliana Governorate</v>
    <v>c9de39bc-5149-2c57-cdb5-b8fe90e99d89</v>
    <v>en-GB</v>
    <v>Map</v>
  </rv>
  <rv s="0">
    <v>536870912</v>
    <v>Sousse Governorate</v>
    <v>e159cd27-6614-2988-fb1e-e3012426d835</v>
    <v>en-GB</v>
    <v>Map</v>
  </rv>
  <rv s="0">
    <v>536870912</v>
    <v>Tataouine Governorate</v>
    <v>117afbff-675e-97d7-df66-ed1c04ea6f74</v>
    <v>en-GB</v>
    <v>Map</v>
  </rv>
  <rv s="0">
    <v>536870912</v>
    <v>Tozeur Governorate</v>
    <v>bfb66b82-c875-b6b7-bc6f-ab7b655f9f81</v>
    <v>en-GB</v>
    <v>Map</v>
  </rv>
  <rv s="0">
    <v>536870912</v>
    <v>Tunis Governorate</v>
    <v>6ad529f3-2581-1ab5-dffc-4ee82b3685bb</v>
    <v>en-GB</v>
    <v>Map</v>
  </rv>
  <rv s="0">
    <v>536870912</v>
    <v>Zaghouan Governorate</v>
    <v>e747784c-7040-34f3-13f4-4c98d7d8c045</v>
    <v>en-GB</v>
    <v>Map</v>
  </rv>
  <rv s="3">
    <v>59</v>
  </rv>
  <rv s="1">
    <fb>0.21127889655799803</fb>
    <v>23</v>
  </rv>
  <rv s="1">
    <fb>0.16021999359130898</fb>
    <v>31</v>
  </rv>
  <rv s="1">
    <fb>8099061</fb>
    <v>24</v>
  </rv>
  <rv s="6">
    <v>#VALUE!</v>
    <v>en-GB</v>
    <v>aa802665-9964-3c1f-29ff-48957a4ec8c3</v>
    <v>536870912</v>
    <v>1</v>
    <v>161</v>
    <v>37</v>
    <v>Tunisia</v>
    <v>19</v>
    <v>20</v>
    <v>Map</v>
    <v>21</v>
    <v>162</v>
    <v>TN</v>
    <v>1224</v>
    <v>1225</v>
    <v>1226</v>
    <v>1227</v>
    <v>1228</v>
    <v>1229</v>
    <v>1230</v>
    <v>1231</v>
    <v>1232</v>
    <v>TND</v>
    <v>Tunisia, officially the Republic of Tunisia, is the northernmost country in Africa. It is a part of the Maghreb region of North Africa, bordered by Algeria to the west and southwest, Libya to the southeast, and the Mediterranean Sea to the north ...</v>
    <v>1233</v>
    <v>1234</v>
    <v>1235</v>
    <v>1236</v>
    <v>1237</v>
    <v>1238</v>
    <v>1239</v>
    <v>1240</v>
    <v>1241</v>
    <v>1242</v>
    <v>1229</v>
    <v>1245</v>
    <v>1246</v>
    <v>1247</v>
    <v>1248</v>
    <v>1249</v>
    <v>1250</v>
    <v>Tunisia</v>
    <v>Humat Al Hima</v>
    <v>337</v>
    <v>Republic of Tunisia</v>
    <v>1251</v>
    <v>1252</v>
    <v>1253</v>
    <v>666</v>
    <v>1254</v>
    <v>1255</v>
    <v>415</v>
    <v>1256</v>
    <v>185</v>
    <v>37</v>
    <v>1257</v>
    <v>1282</v>
    <v>1283</v>
    <v>447</v>
    <v>1284</v>
    <v>Tunisia</v>
    <v>1285</v>
    <v>mdp/vdpid/234</v>
  </rv>
  <rv s="0">
    <v>536870912</v>
    <v>Turkey</v>
    <v>fbfb6418-e8cf-0d18-8b81-28d0fcccda7c</v>
    <v>en-GB</v>
    <v>Map</v>
  </rv>
  <rv s="1">
    <fb>0.49799254187076897</fb>
    <v>23</v>
  </rv>
  <rv s="1">
    <fb>783562</fb>
    <v>24</v>
  </rv>
  <rv s="1">
    <fb>512000</fb>
    <v>24</v>
  </rv>
  <rv s="1">
    <fb>16.027000000000001</fb>
    <v>25</v>
  </rv>
  <rv s="1">
    <fb>90</fb>
    <v>26</v>
  </rv>
  <rv s="0">
    <v>536870912</v>
    <v>Ankara</v>
    <v>85c37289-d0cf-bf9c-89e0-a375b7d3c4e7</v>
    <v>en-GB</v>
    <v>Map</v>
  </rv>
  <rv s="1">
    <fb>372724.88099999999</fb>
    <v>24</v>
  </rv>
  <rv s="1">
    <fb>234.437126307922</fb>
    <v>27</v>
  </rv>
  <rv s="1">
    <fb>0.151768215720023</fb>
    <v>23</v>
  </rv>
  <rv s="1">
    <fb>2847.1263826231798</fb>
    <v>24</v>
  </rv>
  <rv s="1">
    <fb>2.069</fb>
    <v>25</v>
  </rv>
  <rv s="1">
    <fb>0.15354651443713199</fb>
    <v>23</v>
  </rv>
  <rv s="1">
    <fb>86.843187660707997</fb>
    <v>28</v>
  </rv>
  <rv s="1">
    <fb>1.42</fb>
    <v>29</v>
  </rv>
  <rv s="1">
    <fb>754411708202.61597</fb>
    <v>30</v>
  </rv>
  <rv s="1">
    <fb>0.93154979999999998</fb>
    <v>23</v>
  </rv>
  <rv s="1">
    <fb>0.2386259</fb>
    <v>23</v>
  </rv>
  <rv s="2">
    <v>22</v>
    <v>21</v>
    <v>164</v>
    <v>7</v>
    <v>0</v>
    <v>Image of Turkey</v>
  </rv>
  <rv s="1">
    <fb>9.1</fb>
    <v>28</v>
  </rv>
  <rv s="0">
    <v>536870912</v>
    <v>Istanbul</v>
    <v>fda0585c-e197-df02-9869-433da5f8d140</v>
    <v>en-GB</v>
    <v>Map</v>
  </rv>
  <rv s="0">
    <v>805306368</v>
    <v>Recep Tayyip Erdoğan (President)</v>
    <v>f21eb85d-34a7-cfce-c58a-9ef2caf64671</v>
    <v>en-GB</v>
    <v>Generic</v>
  </rv>
  <rv s="0">
    <v>805306368</v>
    <v>Cevdet Yılmaz (Vice president)</v>
    <v>af91fb6e-6da4-9c52-90f9-0b6528a5ec03</v>
    <v>en-GB</v>
    <v>Generic</v>
  </rv>
  <rv s="0">
    <v>805306368</v>
    <v>Zühtü Arslan (Chief justice)</v>
    <v>185ccd5c-aff5-0c62-b4d7-63be3af57921</v>
    <v>en-GB</v>
    <v>Generic</v>
  </rv>
  <rv s="3">
    <v>60</v>
  </rv>
  <rv s="4">
    <v>https://www.bing.com/search?q=turkey&amp;form=skydnc</v>
    <v>Learn more on Bing</v>
  </rv>
  <rv s="1">
    <fb>77.436999999999998</fb>
    <v>28</v>
  </rv>
  <rv s="1">
    <fb>184966060000</fb>
    <v>30</v>
  </rv>
  <rv s="1">
    <fb>17</fb>
    <v>28</v>
  </rv>
  <rv s="1">
    <fb>3.45</fb>
    <v>29</v>
  </rv>
  <rv s="3">
    <v>61</v>
  </rv>
  <rv s="1">
    <fb>0.16948329139999999</fb>
    <v>23</v>
  </rv>
  <rv s="1">
    <fb>1.8492</fb>
    <v>25</v>
  </rv>
  <rv s="1">
    <fb>85341241</fb>
    <v>24</v>
  </rv>
  <rv s="1">
    <fb>0.21100000000000002</fb>
    <v>23</v>
  </rv>
  <rv s="1">
    <fb>0.48499999999999999</fb>
    <v>23</v>
  </rv>
  <rv s="1">
    <fb>2.2000000000000002E-2</fb>
    <v>23</v>
  </rv>
  <rv s="1">
    <fb>5.7999999999999996E-2</fb>
    <v>23</v>
  </rv>
  <rv s="1">
    <fb>0.10099999999999999</fb>
    <v>23</v>
  </rv>
  <rv s="1">
    <fb>0.14499999999999999</fb>
    <v>23</v>
  </rv>
  <rv s="1">
    <fb>0.52828998565673801</fb>
    <v>23</v>
  </rv>
  <rv s="0">
    <v>536870912</v>
    <v>Adana Province</v>
    <v>165c9b43-6a79-db5c-7219-325686bd9700</v>
    <v>en-GB</v>
    <v>Map</v>
  </rv>
  <rv s="0">
    <v>536870912</v>
    <v>Adıyaman Province</v>
    <v>855cf865-a95f-d57f-d14b-d8a01c0592a7</v>
    <v>en-GB</v>
    <v>Map</v>
  </rv>
  <rv s="0">
    <v>536870912</v>
    <v>Afyonkarahisar Province</v>
    <v>084e2a26-12e8-4bc8-e44d-28ccfff05b42</v>
    <v>en-GB</v>
    <v>Map</v>
  </rv>
  <rv s="0">
    <v>536870912</v>
    <v>Ağrı Province</v>
    <v>e02279d8-277c-c50b-1605-c56baca6063e</v>
    <v>en-GB</v>
    <v>Map</v>
  </rv>
  <rv s="0">
    <v>536870912</v>
    <v>Amasya Province</v>
    <v>cc18e26e-109d-8f56-7a4f-c6274bf9b99c</v>
    <v>en-GB</v>
    <v>Map</v>
  </rv>
  <rv s="0">
    <v>536870912</v>
    <v>Ankara Province</v>
    <v>4d2d62dd-3675-5693-ab16-c5f56814d654</v>
    <v>en-GB</v>
    <v>Map</v>
  </rv>
  <rv s="0">
    <v>536870912</v>
    <v>Antalya Province</v>
    <v>587c167a-e948-0ae5-d37e-df27f8a66abc</v>
    <v>en-GB</v>
    <v>Map</v>
  </rv>
  <rv s="0">
    <v>536870912</v>
    <v>Artvin Province</v>
    <v>98c6f465-c9e5-4892-6b40-65f91af6b631</v>
    <v>en-GB</v>
    <v>Map</v>
  </rv>
  <rv s="0">
    <v>536870912</v>
    <v>Aydın Province</v>
    <v>cb3d0981-c59d-2d85-84fb-1ae261b238a7</v>
    <v>en-GB</v>
    <v>Map</v>
  </rv>
  <rv s="0">
    <v>536870912</v>
    <v>Balıkesir Province</v>
    <v>b014e5e1-62ae-7b55-9609-fda4fe491964</v>
    <v>en-GB</v>
    <v>Map</v>
  </rv>
  <rv s="0">
    <v>536870912</v>
    <v>Bilecik Province</v>
    <v>8ca0b002-5a15-15dd-5188-80ec8f8ed2d9</v>
    <v>en-GB</v>
    <v>Map</v>
  </rv>
  <rv s="0">
    <v>536870912</v>
    <v>Bingöl Province</v>
    <v>10ff836a-bdbd-44b4-94e9-c8722cbd9fb8</v>
    <v>en-GB</v>
    <v>Map</v>
  </rv>
  <rv s="0">
    <v>536870912</v>
    <v>Bitlis Province</v>
    <v>4f16e498-6063-4b1b-9ac1-bec6026acd6b</v>
    <v>en-GB</v>
    <v>Map</v>
  </rv>
  <rv s="0">
    <v>536870912</v>
    <v>Bolu Province</v>
    <v>453d788e-f478-b00f-232c-b3c00555b863</v>
    <v>en-GB</v>
    <v>Map</v>
  </rv>
  <rv s="0">
    <v>536870912</v>
    <v>Burdur Province</v>
    <v>70d559c6-b4b3-6141-5bc5-9ad815fa655a</v>
    <v>en-GB</v>
    <v>Map</v>
  </rv>
  <rv s="0">
    <v>536870912</v>
    <v>Bursa Province</v>
    <v>c12c1d6b-e8f6-4eaf-ee4e-7958bdacfc7b</v>
    <v>en-GB</v>
    <v>Map</v>
  </rv>
  <rv s="0">
    <v>536870912</v>
    <v>Çankırı Province</v>
    <v>1aed89ee-690d-e55a-1cd5-1a2c6683ea86</v>
    <v>en-GB</v>
    <v>Map</v>
  </rv>
  <rv s="0">
    <v>536870912</v>
    <v>Çanakkale Province</v>
    <v>4db76560-ab4d-49c4-c8e7-4f73a0fa7ab9</v>
    <v>en-GB</v>
    <v>Map</v>
  </rv>
  <rv s="0">
    <v>536870912</v>
    <v>Çorum Province</v>
    <v>1506a536-030f-6d72-9ee3-f59b2131734c</v>
    <v>en-GB</v>
    <v>Map</v>
  </rv>
  <rv s="0">
    <v>536870912</v>
    <v>Denizli Province</v>
    <v>88d2965a-eef8-deca-0ec8-76cc543ab50d</v>
    <v>en-GB</v>
    <v>Map</v>
  </rv>
  <rv s="0">
    <v>536870912</v>
    <v>Diyarbakır Province</v>
    <v>12b8cb72-be29-1cf6-de4d-60e448df036a</v>
    <v>en-GB</v>
    <v>Map</v>
  </rv>
  <rv s="0">
    <v>536870912</v>
    <v>Düzce Province</v>
    <v>5d3dd9f1-8f88-4a6c-b065-c24ce552ef31</v>
    <v>en-GB</v>
    <v>Map</v>
  </rv>
  <rv s="0">
    <v>536870912</v>
    <v>Edirne Province</v>
    <v>f0daead3-5c80-efbc-369f-d1ab3a6dc8b4</v>
    <v>en-GB</v>
    <v>Map</v>
  </rv>
  <rv s="0">
    <v>536870912</v>
    <v>Elazığ Province</v>
    <v>2122aea0-b392-1445-ddaf-b278ba9f87ee</v>
    <v>en-GB</v>
    <v>Map</v>
  </rv>
  <rv s="0">
    <v>536870912</v>
    <v>Erzincan Province</v>
    <v>2f6662bd-7e90-3693-c3c7-8a7c8807fb00</v>
    <v>en-GB</v>
    <v>Map</v>
  </rv>
  <rv s="0">
    <v>536870912</v>
    <v>Erzurum Province</v>
    <v>01866a32-d9b1-dd86-228d-e56f4adf0cf1</v>
    <v>en-GB</v>
    <v>Map</v>
  </rv>
  <rv s="0">
    <v>536870912</v>
    <v>Eskişehir Province</v>
    <v>47db0cad-86de-b13a-209a-10b6124cd564</v>
    <v>en-GB</v>
    <v>Map</v>
  </rv>
  <rv s="0">
    <v>536870912</v>
    <v>Gaziantep Province</v>
    <v>f1482689-3585-0141-6070-b066119a08fb</v>
    <v>en-GB</v>
    <v>Map</v>
  </rv>
  <rv s="0">
    <v>536870912</v>
    <v>Giresun Province</v>
    <v>2889cd47-4b36-37bb-04d4-df5b5184e171</v>
    <v>en-GB</v>
    <v>Map</v>
  </rv>
  <rv s="0">
    <v>536870912</v>
    <v>Gümüşhane Province</v>
    <v>aed198db-94b5-ed02-7c09-9d96aadb3d6c</v>
    <v>en-GB</v>
    <v>Map</v>
  </rv>
  <rv s="0">
    <v>536870912</v>
    <v>Hakkâri Province</v>
    <v>0cb801b8-2c6e-eb40-c17c-a1b963e86cde</v>
    <v>en-GB</v>
    <v>Map</v>
  </rv>
  <rv s="0">
    <v>536870912</v>
    <v>Hatay Province</v>
    <v>fddcca0f-224b-914e-87d1-2883651173ce</v>
    <v>en-GB</v>
    <v>Map</v>
  </rv>
  <rv s="0">
    <v>536870912</v>
    <v>Isparta Province</v>
    <v>71fa1532-0582-66aa-39bf-e3a06833cb3b</v>
    <v>en-GB</v>
    <v>Map</v>
  </rv>
  <rv s="0">
    <v>536870912</v>
    <v>Mersin Province</v>
    <v>c341746a-b3c2-a92f-31b4-b17728f62a02</v>
    <v>en-GB</v>
    <v>Map</v>
  </rv>
  <rv s="0">
    <v>536870912</v>
    <v>Istanbul Province</v>
    <v>aa3276af-e94f-620a-5fb3-4ee74dc3cf72</v>
    <v>en-GB</v>
    <v>Map</v>
  </rv>
  <rv s="0">
    <v>536870912</v>
    <v>İzmir Province</v>
    <v>e1b979ad-2537-f1c3-fa25-d697064ad3b5</v>
    <v>en-GB</v>
    <v>Map</v>
  </rv>
  <rv s="0">
    <v>536870912</v>
    <v>Kars Province</v>
    <v>836bc829-af6c-b635-a753-3f80169778f6</v>
    <v>en-GB</v>
    <v>Map</v>
  </rv>
  <rv s="0">
    <v>536870912</v>
    <v>Kastamonu Province</v>
    <v>df94dcd0-c282-be5c-fabb-f025a16a5a42</v>
    <v>en-GB</v>
    <v>Map</v>
  </rv>
  <rv s="0">
    <v>536870912</v>
    <v>Kayseri Province</v>
    <v>9fc99e5c-e6c0-9dbd-e980-989451b70f34</v>
    <v>en-GB</v>
    <v>Map</v>
  </rv>
  <rv s="0">
    <v>536870912</v>
    <v>Kırklareli Province</v>
    <v>4da2d7c3-fbfe-176e-501d-855e2a122280</v>
    <v>en-GB</v>
    <v>Map</v>
  </rv>
  <rv s="0">
    <v>536870912</v>
    <v>Kırşehir Province</v>
    <v>214c2df7-9c5e-adb8-024d-1cad8e4ccd37</v>
    <v>en-GB</v>
    <v>Map</v>
  </rv>
  <rv s="0">
    <v>536870912</v>
    <v>Kocaeli Province</v>
    <v>d3bd1534-20dc-a0df-a2c9-36b0eb0912c1</v>
    <v>en-GB</v>
    <v>Map</v>
  </rv>
  <rv s="0">
    <v>536870912</v>
    <v>Konya Province</v>
    <v>a01c56c9-d3fb-ac13-8a71-93db8c55474b</v>
    <v>en-GB</v>
    <v>Map</v>
  </rv>
  <rv s="0">
    <v>536870912</v>
    <v>Kütahya Province</v>
    <v>8541ec9d-1054-7976-26d5-9eefdb011fee</v>
    <v>en-GB</v>
    <v>Map</v>
  </rv>
  <rv s="0">
    <v>536870912</v>
    <v>Malatya Province</v>
    <v>5c83e762-87ba-c1e8-b224-83a3e16fdc65</v>
    <v>en-GB</v>
    <v>Map</v>
  </rv>
  <rv s="0">
    <v>536870912</v>
    <v>Manisa Province</v>
    <v>10f37388-45f4-be0c-4ea8-4b86ce0be5a6</v>
    <v>en-GB</v>
    <v>Map</v>
  </rv>
  <rv s="0">
    <v>536870912</v>
    <v>Kahramanmaraş Province</v>
    <v>f63d4a34-ee39-abc7-9291-01617eb0f4cc</v>
    <v>en-GB</v>
    <v>Map</v>
  </rv>
  <rv s="0">
    <v>536870912</v>
    <v>Mardin Province</v>
    <v>fa6857dd-5d0d-43a8-667d-fb037dec8eca</v>
    <v>en-GB</v>
    <v>Map</v>
  </rv>
  <rv s="0">
    <v>536870912</v>
    <v>Muğla Province</v>
    <v>ba66fd86-d4a9-22ac-57c0-778bd41da0ca</v>
    <v>en-GB</v>
    <v>Map</v>
  </rv>
  <rv s="0">
    <v>536870912</v>
    <v>Muş Province</v>
    <v>4df7fbea-9f00-38fd-c8ca-6181747e0a17</v>
    <v>en-GB</v>
    <v>Map</v>
  </rv>
  <rv s="0">
    <v>536870912</v>
    <v>Nevşehir Province</v>
    <v>65973d79-2f88-10d4-6e47-2a6fdc3f4eea</v>
    <v>en-GB</v>
    <v>Map</v>
  </rv>
  <rv s="0">
    <v>536870912</v>
    <v>Niğde Province</v>
    <v>02801ccd-3926-32c4-1773-63f7a5c1044a</v>
    <v>en-GB</v>
    <v>Map</v>
  </rv>
  <rv s="0">
    <v>536870912</v>
    <v>Ordu Province</v>
    <v>4d4a68fb-2fa4-4a92-7d4e-3837d34e9342</v>
    <v>en-GB</v>
    <v>Map</v>
  </rv>
  <rv s="0">
    <v>536870912</v>
    <v>Rize Province</v>
    <v>72c2af94-7c88-720b-cb84-e74549314d0e</v>
    <v>en-GB</v>
    <v>Map</v>
  </rv>
  <rv s="0">
    <v>536870912</v>
    <v>Sakarya Province</v>
    <v>7ebe894a-2b67-c535-acbb-2bdaa1184732</v>
    <v>en-GB</v>
    <v>Map</v>
  </rv>
  <rv s="0">
    <v>536870912</v>
    <v>Samsun Province</v>
    <v>8c4e990a-62e7-1da2-28fa-bd0bf3fc397c</v>
    <v>en-GB</v>
    <v>Map</v>
  </rv>
  <rv s="0">
    <v>536870912</v>
    <v>Siirt Province</v>
    <v>5490ed79-ab84-df78-c6f2-810d9bb2614b</v>
    <v>en-GB</v>
    <v>Map</v>
  </rv>
  <rv s="0">
    <v>536870912</v>
    <v>Sinop Province</v>
    <v>b9e74088-f822-fd19-c8b8-e311ddda29a5</v>
    <v>en-GB</v>
    <v>Map</v>
  </rv>
  <rv s="0">
    <v>536870912</v>
    <v>Sivas Province</v>
    <v>0aeac0b1-43d7-c278-de16-15b0fb9fd27a</v>
    <v>en-GB</v>
    <v>Map</v>
  </rv>
  <rv s="0">
    <v>536870912</v>
    <v>Tekirdağ Province</v>
    <v>bd5368fb-d1b8-4a96-b634-985d3089515d</v>
    <v>en-GB</v>
    <v>Map</v>
  </rv>
  <rv s="0">
    <v>536870912</v>
    <v>Tokat Province</v>
    <v>8d336435-bb4e-154b-2b3d-bc7c79381e19</v>
    <v>en-GB</v>
    <v>Map</v>
  </rv>
  <rv s="0">
    <v>536870912</v>
    <v>Trabzon Province</v>
    <v>26d72493-e6e0-8391-d7eb-8b7032399dce</v>
    <v>en-GB</v>
    <v>Map</v>
  </rv>
  <rv s="0">
    <v>536870912</v>
    <v>Tunceli Province</v>
    <v>116c4083-d7f5-5473-a24e-38ca9bbe6b02</v>
    <v>en-GB</v>
    <v>Map</v>
  </rv>
  <rv s="0">
    <v>536870912</v>
    <v>Şanlıurfa Province</v>
    <v>8357d93c-256b-62a5-5bde-56fa0bc45f01</v>
    <v>en-GB</v>
    <v>Map</v>
  </rv>
  <rv s="0">
    <v>536870912</v>
    <v>Uşak Province</v>
    <v>122cbd30-fc4b-cc92-4b05-8b9f07bd9a42</v>
    <v>en-GB</v>
    <v>Map</v>
  </rv>
  <rv s="0">
    <v>536870912</v>
    <v>Van Province</v>
    <v>6189c8a3-7d17-4329-919d-ca71576f7001</v>
    <v>en-GB</v>
    <v>Map</v>
  </rv>
  <rv s="0">
    <v>536870912</v>
    <v>Yozgat Province</v>
    <v>0c70abd6-4b3a-bafe-cca0-47c3c0b5207c</v>
    <v>en-GB</v>
    <v>Map</v>
  </rv>
  <rv s="0">
    <v>536870912</v>
    <v>Zonguldak Province</v>
    <v>f15aed49-7932-e29c-3822-1cdd73b6309e</v>
    <v>en-GB</v>
    <v>Map</v>
  </rv>
  <rv s="0">
    <v>536870912</v>
    <v>Aksaray Province</v>
    <v>81d2c9ee-3ec0-b0b7-611e-b5c639377d08</v>
    <v>en-GB</v>
    <v>Map</v>
  </rv>
  <rv s="0">
    <v>536870912</v>
    <v>Bayburt Province</v>
    <v>78b7d282-727e-0596-becd-d71f66061a80</v>
    <v>en-GB</v>
    <v>Map</v>
  </rv>
  <rv s="0">
    <v>536870912</v>
    <v>Karaman Province</v>
    <v>7d9ce050-bb20-8bbc-a1b4-1437c3553ebc</v>
    <v>en-GB</v>
    <v>Map</v>
  </rv>
  <rv s="0">
    <v>536870912</v>
    <v>Kırıkkale Province</v>
    <v>a4c29c36-f0cd-5129-a03c-8859a5b31089</v>
    <v>en-GB</v>
    <v>Map</v>
  </rv>
  <rv s="0">
    <v>536870912</v>
    <v>Batman Province</v>
    <v>62e638c6-38ee-e10e-0af1-d6579e7f08f6</v>
    <v>en-GB</v>
    <v>Map</v>
  </rv>
  <rv s="0">
    <v>536870912</v>
    <v>Şırnak Province</v>
    <v>466847c5-4091-0032-b3df-5b8881f5e9bc</v>
    <v>en-GB</v>
    <v>Map</v>
  </rv>
  <rv s="0">
    <v>536870912</v>
    <v>Bartın Province</v>
    <v>08decd5f-ab51-292a-67f0-6791470aaeca</v>
    <v>en-GB</v>
    <v>Map</v>
  </rv>
  <rv s="0">
    <v>536870912</v>
    <v>Ardahan Province</v>
    <v>48344073-852b-85c4-c321-585f945a4ed9</v>
    <v>en-GB</v>
    <v>Map</v>
  </rv>
  <rv s="0">
    <v>536870912</v>
    <v>Iğdır Province</v>
    <v>11552ebc-e31a-3666-c967-038d03236735</v>
    <v>en-GB</v>
    <v>Map</v>
  </rv>
  <rv s="0">
    <v>536870912</v>
    <v>Yalova Province</v>
    <v>57683b96-e4ee-b046-126a-cfacf116feea</v>
    <v>en-GB</v>
    <v>Map</v>
  </rv>
  <rv s="0">
    <v>536870912</v>
    <v>Karabük Province</v>
    <v>37c4dec2-a540-0bac-3662-01c63c2d9be4</v>
    <v>en-GB</v>
    <v>Map</v>
  </rv>
  <rv s="0">
    <v>536870912</v>
    <v>Kilis Province</v>
    <v>61d19aee-be4d-6c41-e22d-e3aa79c91850</v>
    <v>en-GB</v>
    <v>Map</v>
  </rv>
  <rv s="0">
    <v>536870912</v>
    <v>Osmaniye Province</v>
    <v>51d1cb5f-1f55-7a57-518f-80a94efdb5f7</v>
    <v>en-GB</v>
    <v>Map</v>
  </rv>
  <rv s="3">
    <v>62</v>
  </rv>
  <rv s="1">
    <fb>0.178640331232954</fb>
    <v>23</v>
  </rv>
  <rv s="1">
    <fb>0.42299999999999999</fb>
    <v>23</v>
  </rv>
  <rv s="1">
    <fb>0.134899997711182</fb>
    <v>31</v>
  </rv>
  <rv s="1">
    <fb>63097818</fb>
    <v>24</v>
  </rv>
  <rv s="6">
    <v>#VALUE!</v>
    <v>en-GB</v>
    <v>fbfb6418-e8cf-0d18-8b81-28d0fcccda7c</v>
    <v>536870912</v>
    <v>1</v>
    <v>167</v>
    <v>37</v>
    <v>Turkey</v>
    <v>19</v>
    <v>20</v>
    <v>Map</v>
    <v>21</v>
    <v>168</v>
    <v>TR</v>
    <v>1288</v>
    <v>1289</v>
    <v>1290</v>
    <v>1291</v>
    <v>1292</v>
    <v>1293</v>
    <v>1294</v>
    <v>1295</v>
    <v>1296</v>
    <v>TRL</v>
    <v>Turkey, officially the Republic of Türkiye, is a country located mainly on the Anatolian Peninsula in West Asia, with a smaller portion called East Thrace on the Balkan Peninsula in Southeast Europe. It borders the Black Sea to the north; ...</v>
    <v>1297</v>
    <v>1298</v>
    <v>1299</v>
    <v>1300</v>
    <v>1301</v>
    <v>1302</v>
    <v>1303</v>
    <v>1304</v>
    <v>1305</v>
    <v>1306</v>
    <v>1307</v>
    <v>1311</v>
    <v>1312</v>
    <v>1313</v>
    <v>1314</v>
    <v>1315</v>
    <v>1316</v>
    <v>Turkey</v>
    <v>İstiklal Marşı</v>
    <v>1317</v>
    <v>Türkiye Cumhuriyeti</v>
    <v>1318</v>
    <v>1319</v>
    <v>1320</v>
    <v>1321</v>
    <v>742</v>
    <v>1322</v>
    <v>1323</v>
    <v>1324</v>
    <v>1325</v>
    <v>1326</v>
    <v>1327</v>
    <v>1409</v>
    <v>1410</v>
    <v>1411</v>
    <v>1412</v>
    <v>Turkey</v>
    <v>1413</v>
    <v>mdp/vdpid/235</v>
  </rv>
</rvData>
</file>

<file path=xl/richData/rdrichvaluestructure.xml><?xml version="1.0" encoding="utf-8"?>
<rvStructures xmlns="http://schemas.microsoft.com/office/spreadsheetml/2017/richdata" count="17">
  <s t="_linkedentity2">
    <k n="%EntityServiceId" t="i"/>
    <k n="_DisplayString" t="s"/>
    <k n="%EntityId" t="s"/>
    <k n="%EntityCulture" t="s"/>
    <k n="_Icon" t="s"/>
  </s>
  <s t="_formattednumber">
    <k n="_Format" t="spb"/>
  </s>
  <s t="_webimage">
    <k n="WebImageIdentifier" t="i"/>
    <k n="_Provider" t="spb"/>
    <k n="Attribution" t="spb"/>
    <k n="CalcOrigin" t="i"/>
    <k n="ComputedImage" t="b"/>
    <k n="Text" t="s"/>
  </s>
  <s t="_array">
    <k n="array" t="a"/>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tertiary education enrollment (%)" t="r"/>
    <k n="Image" t="r"/>
    <k n="Infant mortality" t="r"/>
    <k n="Largest city" t="r"/>
    <k n="Leader(s)" t="r"/>
    <k n="LearnMoreOnLink" t="r"/>
    <k n="Life expectancy"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alling code" t="r"/>
    <k n="Capital/Major City" t="r"/>
    <k n="Currency code" t="s"/>
    <k n="Description" t="s"/>
    <k n="GDP" t="r"/>
    <k n="Image" t="r"/>
    <k n="Largest city" t="r"/>
    <k n="Leader(s)" t="r"/>
    <k n="LearnMoreOnLink" t="r"/>
    <k n="Name" t="s"/>
    <k n="National anthem" t="s"/>
    <k n="Official language" t="r"/>
    <k n="Official 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ternal mortality ratio" t="r"/>
    <k n="Minimum wage" t="r"/>
    <k n="Name" t="s"/>
    <k n="National anthem" t="s"/>
    <k n="Official language" t="r"/>
    <k n="Official name" t="s"/>
    <k n="Out of pocket health expenditure (%)" t="r"/>
    <k n="Physicians per thousand" t="r"/>
    <k n="Population" t="r"/>
    <k n="Population: Labor force participation (%)" t="r"/>
    <k n="Subdivisions"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irth rate" t="r"/>
    <k n="Calling code" t="r"/>
    <k n="Capital/Major City" t="r"/>
    <k n="Currency code" t="s"/>
    <k n="Description" t="s"/>
    <k n="Gasoline price" t="r"/>
    <k n="GDP" t="r"/>
    <k n="Image" t="r"/>
    <k n="Infant mortality" t="r"/>
    <k n="Largest city" t="r"/>
    <k n="Leader(s)" t="r"/>
    <k n="LearnMoreOnLink" t="r"/>
    <k n="Minimum wage" t="r"/>
    <k n="Name" t="s"/>
    <k n="National anthem" t="s"/>
    <k n="Official language" t="r"/>
    <k n="Official name" t="s"/>
    <k n="Out of pocket health expenditure (%)" t="r"/>
    <k n="Physicians per thousand" t="r"/>
    <k n="Population" t="r"/>
    <k n="Time zone(s)"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rea" t="r"/>
    <k n="Capital/Major City" t="r"/>
    <k n="Description" t="s"/>
    <k n="GDP" t="r"/>
    <k n="Image" t="r"/>
    <k n="Leader(s)" t="r"/>
    <k n="LearnMoreOnLink" t="r"/>
    <k n="Name" t="s"/>
    <k n="National anthem" t="s"/>
    <k n="Official language" t="r"/>
    <k n="Official name" t="s"/>
    <k n="UniqueName"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rvStructures>
</file>

<file path=xl/richData/rdsupportingpropertybag.xml><?xml version="1.0" encoding="utf-8"?>
<supportingPropertyBags xmlns="http://schemas.microsoft.com/office/spreadsheetml/2017/richdata2">
  <spbArrays count="12">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a count="61">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tertiary education enrollment (%)</v>
      <v t="s">Out of pocket health expenditure (%)</v>
      <v t="s">Physicians per thousand</v>
      <v t="s">Armed forces size</v>
      <v t="s">Calling code</v>
      <v t="s">_Flags</v>
      <v t="s">VDPID/VSID</v>
      <v t="s">UniqueName</v>
      <v t="s">_DisplayString</v>
      <v t="s">LearnMoreOnLink</v>
      <v t="s">Image</v>
      <v t="s">Description</v>
    </a>
    <a count="62">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31">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Time zone(s)</v>
      <v t="s">Calling code</v>
      <v t="s">_Flags</v>
      <v t="s">VDPID/VSID</v>
      <v t="s">UniqueName</v>
      <v t="s">_DisplayString</v>
      <v t="s">LearnMoreOnLink</v>
      <v t="s">Image</v>
      <v t="s">Description</v>
    </a>
    <a count="55">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Labor force participation (%)</v>
      <v t="s">Minimum wage</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2">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National anthem</v>
      <v t="s">Official language</v>
      <v t="s">Official name</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38">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Birth rate</v>
      <v t="s">Infant mortality</v>
      <v t="s">Urban population</v>
      <v t="s">Gasoline price</v>
      <v t="s">Minimum wage</v>
      <v t="s">Out of pocket health expenditure (%)</v>
      <v t="s">Physicians per thousand</v>
      <v t="s">Time zone(s)</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Capital/Major City</v>
      <v t="s">Leader(s)</v>
      <v t="s">_SubLabel</v>
      <v t="s">Area</v>
      <v t="s">GDP</v>
      <v t="s">National anthem</v>
      <v t="s">Official language</v>
      <v t="s">Official name</v>
      <v t="s">_Flags</v>
      <v t="s">UniqueName</v>
      <v t="s">_DisplayString</v>
      <v t="s">LearnMoreOnLink</v>
      <v t="s">Image</v>
      <v t="s">Description</v>
    </a>
    <a count="62">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spbArrays>
  <spbData count="169">
    <spb s="0">
      <v xml:space="preserve">data.worldbank.org	</v>
      <v xml:space="preserve">	</v>
      <v xml:space="preserve">http://data.worldbank.org/indicator/FP.CPI.TOTL	</v>
      <v xml:space="preserve">	</v>
    </spb>
    <spb s="0">
      <v xml:space="preserve">Wikipedia	Cia	travel.state.gov	</v>
      <v xml:space="preserve">CC-BY-SA			</v>
      <v xml:space="preserve">http://en.wikipedia.org/wiki/Albania	https://www.cia.gov/library/publications/the-world-factbook/geos/al.html?Transportation	https://travel.state.gov/content/travel/en/international-travel/International-Travel-Country-Information-Pages/Albania.html	</v>
      <v xml:space="preserve">http://creativecommons.org/licenses/by-sa/3.0/			</v>
    </spb>
    <spb s="0">
      <v xml:space="preserve">Wikipedia	</v>
      <v xml:space="preserve">CC BY-SA 3.0	</v>
      <v xml:space="preserve">https://en.wikipedia.org/wiki/Albania	</v>
      <v xml:space="preserve">https://creativecommons.org/licenses/by-sa/3.0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http://en.wikipedia.org/wiki/Albania	</v>
      <v xml:space="preserve">http://creativecommons.org/licenses/by-sa/3.0/	</v>
    </spb>
    <spb s="0">
      <v xml:space="preserve">Cia	</v>
      <v xml:space="preserve">	</v>
      <v xml:space="preserve">https://www.cia.gov/library/publications/the-world-factbook/geos/al.html?Transportation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1">
      <v>0</v>
      <v>1</v>
      <v>2</v>
      <v>2</v>
      <v>3</v>
      <v>2</v>
      <v>2</v>
      <v>2</v>
      <v>4</v>
      <v>2</v>
      <v>2</v>
      <v>4</v>
      <v>2</v>
      <v>2</v>
      <v>5</v>
      <v>6</v>
      <v>1</v>
      <v>5</v>
      <v>7</v>
      <v>2</v>
      <v>5</v>
      <v>8</v>
      <v>9</v>
      <v>10</v>
      <v>5</v>
      <v>5</v>
      <v>2</v>
      <v>5</v>
      <v>11</v>
      <v>12</v>
      <v>13</v>
      <v>14</v>
      <v>5</v>
      <v>5</v>
      <v>5</v>
      <v>5</v>
      <v>5</v>
      <v>5</v>
      <v>5</v>
      <v>5</v>
      <v>5</v>
      <v>5</v>
      <v>5</v>
      <v>15</v>
    </spb>
    <spb s="2">
      <v>0</v>
      <v>Name</v>
      <v>LearnMoreOnLink</v>
    </spb>
    <spb s="3">
      <v>0</v>
      <v>0</v>
      <v>0</v>
    </spb>
    <spb s="4">
      <v>18</v>
      <v>18</v>
      <v>18</v>
    </spb>
    <spb s="5">
      <v>1</v>
      <v>2</v>
    </spb>
    <spb s="6">
      <v>https://www.bing.com</v>
      <v>https://www.bing.com/th?id=Ga%5Cbing_yt.png&amp;w=100&amp;h=40&amp;c=0&amp;pid=0.1</v>
      <v>Powered by Bing</v>
    </spb>
    <spb s="7">
      <v>2019</v>
      <v>2019</v>
      <v>square km</v>
      <v>per thousand (2018)</v>
      <v>2022</v>
      <v>2019</v>
      <v>2018</v>
      <v>per liter (2016)</v>
      <v>2019</v>
      <v>years (2018)</v>
      <v>2018</v>
      <v>per thousand (2018)</v>
      <v>2019</v>
      <v>2017</v>
      <v>2016</v>
      <v>2019</v>
      <v>2016</v>
      <v>2016</v>
      <v>kilotons per year (2016)</v>
      <v>deaths per 100,000 (2017)</v>
      <v>kWh (2014)</v>
      <v>2014</v>
      <v>2017</v>
      <v>2017</v>
      <v>2017</v>
      <v>2017</v>
      <v>2017</v>
      <v>2015</v>
      <v>2017</v>
      <v>2017</v>
      <v>2018</v>
      <v>2018</v>
      <v>2019</v>
    </spb>
    <spb s="8">
      <v>3</v>
    </spb>
    <spb s="8">
      <v>4</v>
    </spb>
    <spb s="8">
      <v>5</v>
    </spb>
    <spb s="8">
      <v>6</v>
    </spb>
    <spb s="8">
      <v>7</v>
    </spb>
    <spb s="8">
      <v>8</v>
    </spb>
    <spb s="8">
      <v>9</v>
    </spb>
    <spb s="8">
      <v>10</v>
    </spb>
    <spb s="8">
      <v>11</v>
    </spb>
    <spb s="0">
      <v xml:space="preserve">Wikipedia	Cia	travel.state.gov	</v>
      <v xml:space="preserve">CC-BY-SA			</v>
      <v xml:space="preserve">http://en.wikipedia.org/wiki/Algeria	https://www.cia.gov/library/publications/the-world-factbook/geos/ag.html?Transportation	https://travel.state.gov/content/travel/en/international-travel/International-Travel-Country-Information-Pages/Algeria.html	</v>
      <v xml:space="preserve">http://creativecommons.org/licenses/by-sa/3.0/			</v>
    </spb>
    <spb s="0">
      <v xml:space="preserve">Wikipedia	</v>
      <v xml:space="preserve">CC BY-SA 3.0	</v>
      <v xml:space="preserve">https://en.wikipedia.org/wiki/Algeria	</v>
      <v xml:space="preserve">https://creativecommons.org/licenses/by-sa/3.0	</v>
    </spb>
    <spb s="0">
      <v xml:space="preserve">Wikipedia	</v>
      <v xml:space="preserve">CC-BY-SA	</v>
      <v xml:space="preserve">http://en.wikipedia.org/wiki/Algeria	</v>
      <v xml:space="preserve">http://creativecommons.org/licenses/by-sa/3.0/	</v>
    </spb>
    <spb s="0">
      <v xml:space="preserve">Cia	</v>
      <v xml:space="preserve">	</v>
      <v xml:space="preserve">https://www.cia.gov/library/publications/the-world-factbook/geos/ag.html?Transportation	</v>
      <v xml:space="preserve">	</v>
    </spb>
    <spb s="9">
      <v>0</v>
      <v>32</v>
      <v>33</v>
      <v>33</v>
      <v>3</v>
      <v>33</v>
      <v>33</v>
      <v>33</v>
      <v>34</v>
      <v>33</v>
      <v>33</v>
      <v>34</v>
      <v>33</v>
      <v>33</v>
      <v>35</v>
      <v>6</v>
      <v>32</v>
      <v>35</v>
      <v>7</v>
      <v>33</v>
      <v>35</v>
      <v>8</v>
      <v>9</v>
      <v>10</v>
      <v>35</v>
      <v>35</v>
      <v>33</v>
      <v>35</v>
      <v>11</v>
      <v>12</v>
      <v>13</v>
      <v>14</v>
      <v>35</v>
      <v>32</v>
      <v>35</v>
      <v>35</v>
      <v>35</v>
      <v>35</v>
      <v>35</v>
      <v>35</v>
      <v>35</v>
      <v>35</v>
      <v>35</v>
      <v>35</v>
      <v>15</v>
    </spb>
    <spb s="2">
      <v>1</v>
      <v>Name</v>
      <v>LearnMoreOnLink</v>
    </spb>
    <spb s="10">
      <v>2019</v>
      <v>2019</v>
      <v>square km</v>
      <v>per thousand (2018)</v>
      <v>2022</v>
      <v>2019</v>
      <v>2018</v>
      <v>per liter (2016)</v>
      <v>2019</v>
      <v>years (2018)</v>
      <v>2011</v>
      <v>per thousand (2018)</v>
      <v>2019</v>
      <v>2017</v>
      <v>2016</v>
      <v>2019</v>
      <v>2016</v>
      <v>2018</v>
      <v>kilotons per year (2016)</v>
      <v>deaths per 100,000 (2017)</v>
      <v>kWh (2014)</v>
      <v>2014</v>
      <v>2018</v>
      <v>2011</v>
      <v>2011</v>
      <v>2011</v>
      <v>2011</v>
      <v>2011</v>
      <v>2015</v>
      <v>2011</v>
      <v>2011</v>
      <v>2018</v>
      <v>2018</v>
      <v>2019</v>
    </spb>
    <spb s="0">
      <v xml:space="preserve">Wikipedia	Cia	travel.state.gov	</v>
      <v xml:space="preserve">CC-BY-SA			</v>
      <v xml:space="preserve">http://en.wikipedia.org/wiki/Bosnia_and_Herzegovina	https://www.cia.gov/library/publications/the-world-factbook/geos/bk.html?Transportation	https://travel.state.gov/content/travel/en/international-travel/International-Travel-Country-Information-Pages/BosniaandHerzegovina.html	</v>
      <v xml:space="preserve">http://creativecommons.org/licenses/by-sa/3.0/			</v>
    </spb>
    <spb s="0">
      <v xml:space="preserve">Wikipedia	</v>
      <v xml:space="preserve">CC BY-SA 3.0	</v>
      <v xml:space="preserve">https://en.wikipedia.org/wiki/Bosnia_and_Herzegovina	</v>
      <v xml:space="preserve">https://creativecommons.org/licenses/by-sa/3.0	</v>
    </spb>
    <spb s="0">
      <v xml:space="preserve">Wikipedia	</v>
      <v xml:space="preserve">CC-BY-SA	</v>
      <v xml:space="preserve">http://en.wikipedia.org/wiki/Bosnia_and_Herzegovina	</v>
      <v xml:space="preserve">http://creativecommons.org/licenses/by-sa/3.0/	</v>
    </spb>
    <spb s="0">
      <v xml:space="preserve">Cia	</v>
      <v xml:space="preserve">	</v>
      <v xml:space="preserve">https://www.cia.gov/library/publications/the-world-factbook/geos/bk.html?Transportation	</v>
      <v xml:space="preserve">	</v>
    </spb>
    <spb s="11">
      <v>0</v>
      <v>39</v>
      <v>40</v>
      <v>40</v>
      <v>3</v>
      <v>40</v>
      <v>40</v>
      <v>40</v>
      <v>41</v>
      <v>40</v>
      <v>40</v>
      <v>41</v>
      <v>40</v>
      <v>40</v>
      <v>42</v>
      <v>6</v>
      <v>39</v>
      <v>42</v>
      <v>7</v>
      <v>40</v>
      <v>42</v>
      <v>8</v>
      <v>9</v>
      <v>10</v>
      <v>42</v>
      <v>42</v>
      <v>40</v>
      <v>42</v>
      <v>11</v>
      <v>12</v>
      <v>13</v>
      <v>14</v>
      <v>42</v>
      <v>42</v>
      <v>42</v>
      <v>42</v>
      <v>42</v>
      <v>42</v>
      <v>42</v>
      <v>42</v>
      <v>42</v>
      <v>42</v>
      <v>15</v>
    </spb>
    <spb s="2">
      <v>2</v>
      <v>Name</v>
      <v>LearnMoreOnLink</v>
    </spb>
    <spb s="12">
      <v>2019</v>
      <v>2019</v>
      <v>square km</v>
      <v>per thousand (2018)</v>
      <v>2022</v>
      <v>2019</v>
      <v>2018</v>
      <v>per liter (2016)</v>
      <v>2019</v>
      <v>years (2018)</v>
      <v>2018</v>
      <v>per thousand (2018)</v>
      <v>2019</v>
      <v>2017</v>
      <v>2016</v>
      <v>2019</v>
      <v>2016</v>
      <v>2015</v>
      <v>kilotons per year (2016)</v>
      <v>deaths per 100,000 (2017)</v>
      <v>kWh (2014)</v>
      <v>2014</v>
      <v>2011</v>
      <v>2011</v>
      <v>2011</v>
      <v>2011</v>
      <v>2011</v>
      <v>2015</v>
      <v>2011</v>
      <v>2011</v>
      <v>2002</v>
      <v>2019</v>
    </spb>
    <spb s="0">
      <v xml:space="preserve">Wikipedia	Cia	travel.state.gov	</v>
      <v xml:space="preserve">CC-BY-SA			</v>
      <v xml:space="preserve">http://en.wikipedia.org/wiki/Croatia	https://www.cia.gov/library/publications/the-world-factbook/geos/hr.html?Transportation	https://travel.state.gov/content/travel/en/international-travel/International-Travel-Country-Information-Pages/Croatia.html	</v>
      <v xml:space="preserve">http://creativecommons.org/licenses/by-sa/3.0/			</v>
    </spb>
    <spb s="0">
      <v xml:space="preserve">Wikipedia	</v>
      <v xml:space="preserve">CC BY-SA 3.0	</v>
      <v xml:space="preserve">https://en.wikipedia.org/wiki/Croatia	</v>
      <v xml:space="preserve">https://creativecommons.org/licenses/by-sa/3.0	</v>
    </spb>
    <spb s="0">
      <v xml:space="preserve">Wikipedia	</v>
      <v xml:space="preserve">CC-BY-SA	</v>
      <v xml:space="preserve">http://en.wikipedia.org/wiki/Croatia	</v>
      <v xml:space="preserve">http://creativecommons.org/licenses/by-sa/3.0/	</v>
    </spb>
    <spb s="0">
      <v xml:space="preserve">Cia	</v>
      <v xml:space="preserve">	</v>
      <v xml:space="preserve">https://www.cia.gov/library/publications/the-world-factbook/geos/hr.html?Transportation	</v>
      <v xml:space="preserve">	</v>
    </spb>
    <spb s="9">
      <v>0</v>
      <v>46</v>
      <v>47</v>
      <v>47</v>
      <v>3</v>
      <v>47</v>
      <v>47</v>
      <v>47</v>
      <v>48</v>
      <v>47</v>
      <v>47</v>
      <v>48</v>
      <v>47</v>
      <v>47</v>
      <v>49</v>
      <v>6</v>
      <v>46</v>
      <v>49</v>
      <v>7</v>
      <v>47</v>
      <v>49</v>
      <v>8</v>
      <v>9</v>
      <v>10</v>
      <v>49</v>
      <v>49</v>
      <v>47</v>
      <v>49</v>
      <v>11</v>
      <v>12</v>
      <v>13</v>
      <v>14</v>
      <v>49</v>
      <v>46</v>
      <v>49</v>
      <v>49</v>
      <v>49</v>
      <v>49</v>
      <v>49</v>
      <v>49</v>
      <v>49</v>
      <v>49</v>
      <v>49</v>
      <v>49</v>
      <v>15</v>
    </spb>
    <spb s="10">
      <v>2019</v>
      <v>2019</v>
      <v>square km</v>
      <v>per thousand (2018)</v>
      <v>2022</v>
      <v>2019</v>
      <v>2018</v>
      <v>per liter (2016)</v>
      <v>2019</v>
      <v>years (2018)</v>
      <v>2018</v>
      <v>per thousand (2018)</v>
      <v>2019</v>
      <v>2017</v>
      <v>2016</v>
      <v>2019</v>
      <v>2016</v>
      <v>2016</v>
      <v>kilotons per year (2016)</v>
      <v>deaths per 100,000 (2017)</v>
      <v>kWh (2014)</v>
      <v>2014</v>
      <v>2019</v>
      <v>2017</v>
      <v>2017</v>
      <v>2017</v>
      <v>2017</v>
      <v>2017</v>
      <v>2015</v>
      <v>2017</v>
      <v>2017</v>
      <v>2017</v>
      <v>2017</v>
      <v>2019</v>
    </spb>
    <spb s="0">
      <v xml:space="preserve">Wikipedia	Cia	travel.state.gov	</v>
      <v xml:space="preserve">CC-BY-SA			</v>
      <v xml:space="preserve">http://en.wikipedia.org/wiki/Cyprus	https://www.cia.gov/library/publications/the-world-factbook/geos/cy.html?Transportation	https://travel.state.gov/content/travel/en/international-travel/International-Travel-Country-Information-Pages/Cyprus.html	</v>
      <v xml:space="preserve">http://creativecommons.org/licenses/by-sa/3.0/			</v>
    </spb>
    <spb s="0">
      <v xml:space="preserve">Wikipedia	</v>
      <v xml:space="preserve">CC BY-SA 3.0	</v>
      <v xml:space="preserve">https://en.wikipedia.org/wiki/Cyprus	</v>
      <v xml:space="preserve">https://creativecommons.org/licenses/by-sa/3.0	</v>
    </spb>
    <spb s="0">
      <v xml:space="preserve">Wikipedia	</v>
      <v xml:space="preserve">CC-BY-SA	</v>
      <v xml:space="preserve">http://en.wikipedia.org/wiki/Cyprus	</v>
      <v xml:space="preserve">http://creativecommons.org/licenses/by-sa/3.0/	</v>
    </spb>
    <spb s="0">
      <v xml:space="preserve">Cia	</v>
      <v xml:space="preserve">	</v>
      <v xml:space="preserve">https://www.cia.gov/library/publications/the-world-factbook/geos/cy.html?Transportation	</v>
      <v xml:space="preserve">	</v>
    </spb>
    <spb s="13">
      <v>0</v>
      <v>52</v>
      <v>53</v>
      <v>53</v>
      <v>3</v>
      <v>53</v>
      <v>53</v>
      <v>53</v>
      <v>54</v>
      <v>53</v>
      <v>53</v>
      <v>53</v>
      <v>53</v>
      <v>55</v>
      <v>6</v>
      <v>52</v>
      <v>55</v>
      <v>7</v>
      <v>53</v>
      <v>55</v>
      <v>8</v>
      <v>9</v>
      <v>10</v>
      <v>55</v>
      <v>55</v>
      <v>53</v>
      <v>55</v>
      <v>11</v>
      <v>12</v>
      <v>13</v>
      <v>14</v>
      <v>55</v>
      <v>52</v>
      <v>55</v>
      <v>55</v>
      <v>55</v>
      <v>55</v>
      <v>55</v>
      <v>55</v>
      <v>55</v>
      <v>55</v>
      <v>55</v>
      <v>55</v>
      <v>15</v>
    </spb>
    <spb s="2">
      <v>3</v>
      <v>Name</v>
      <v>LearnMoreOnLink</v>
    </spb>
    <spb s="0">
      <v xml:space="preserve">Wikipedia	Cia	travel.state.gov	</v>
      <v xml:space="preserve">CC-BY-SA			</v>
      <v xml:space="preserve">http://en.wikipedia.org/wiki/Egypt	https://www.cia.gov/library/publications/the-world-factbook/geos/eg.html?Transportation	https://travel.state.gov/content/travel/en/international-travel/International-Travel-Country-Information-Pages/Egypt.html	</v>
      <v xml:space="preserve">http://creativecommons.org/licenses/by-sa/3.0/			</v>
    </spb>
    <spb s="0">
      <v xml:space="preserve">Wikipedia	</v>
      <v xml:space="preserve">CC BY-SA 3.0	</v>
      <v xml:space="preserve">https://en.wikipedia.org/wiki/Egypt	</v>
      <v xml:space="preserve">https://creativecommons.org/licenses/by-sa/3.0	</v>
    </spb>
    <spb s="0">
      <v xml:space="preserve">Wikipedia	</v>
      <v xml:space="preserve">CC-BY-SA	</v>
      <v xml:space="preserve">http://en.wikipedia.org/wiki/Egypt	</v>
      <v xml:space="preserve">http://creativecommons.org/licenses/by-sa/3.0/	</v>
    </spb>
    <spb s="0">
      <v xml:space="preserve">Cia	</v>
      <v xml:space="preserve">	</v>
      <v xml:space="preserve">https://www.cia.gov/library/publications/the-world-factbook/geos/eg.html?Transportation	</v>
      <v xml:space="preserve">	</v>
    </spb>
    <spb s="13">
      <v>0</v>
      <v>58</v>
      <v>59</v>
      <v>59</v>
      <v>3</v>
      <v>59</v>
      <v>59</v>
      <v>59</v>
      <v>60</v>
      <v>59</v>
      <v>59</v>
      <v>59</v>
      <v>59</v>
      <v>61</v>
      <v>6</v>
      <v>58</v>
      <v>61</v>
      <v>7</v>
      <v>59</v>
      <v>61</v>
      <v>8</v>
      <v>9</v>
      <v>10</v>
      <v>61</v>
      <v>61</v>
      <v>59</v>
      <v>61</v>
      <v>11</v>
      <v>12</v>
      <v>13</v>
      <v>14</v>
      <v>61</v>
      <v>58</v>
      <v>61</v>
      <v>61</v>
      <v>61</v>
      <v>61</v>
      <v>61</v>
      <v>61</v>
      <v>61</v>
      <v>61</v>
      <v>61</v>
      <v>61</v>
      <v>15</v>
    </spb>
    <spb s="10">
      <v>2019</v>
      <v>2019</v>
      <v>square km</v>
      <v>per thousand (2018)</v>
      <v>2022</v>
      <v>2019</v>
      <v>2018</v>
      <v>per liter (2016)</v>
      <v>2019</v>
      <v>years (2018)</v>
      <v>2015</v>
      <v>per thousand (2018)</v>
      <v>2019</v>
      <v>2017</v>
      <v>2016</v>
      <v>2019</v>
      <v>2016</v>
      <v>2018</v>
      <v>kilotons per year (2016)</v>
      <v>deaths per 100,000 (2017)</v>
      <v>kWh (2014)</v>
      <v>2014</v>
      <v>2019</v>
      <v>2017</v>
      <v>2017</v>
      <v>2017</v>
      <v>2017</v>
      <v>2017</v>
      <v>2015</v>
      <v>2017</v>
      <v>2017</v>
      <v>2018</v>
      <v>2017</v>
      <v>2019</v>
    </spb>
    <spb s="0">
      <v xml:space="preserve">Wikipedia	Cia	travel.state.gov	</v>
      <v xml:space="preserve">CC-BY-SA			</v>
      <v xml:space="preserve">http://en.wikipedia.org/wiki/France	https://www.cia.gov/library/publications/the-world-factbook/geos/fr.html?Transportation	https://travel.state.gov/content/travel/en/international-travel/International-Travel-Country-Information-Pages/Monaco.html	</v>
      <v xml:space="preserve">http://creativecommons.org/licenses/by-sa/3.0/			</v>
    </spb>
    <spb s="0">
      <v xml:space="preserve">Wikipedia	</v>
      <v xml:space="preserve">CC BY-SA 3.0	</v>
      <v xml:space="preserve">https://en.wikipedia.org/wiki/France	</v>
      <v xml:space="preserve">https://creativecommons.org/licenses/by-sa/3.0	</v>
    </spb>
    <spb s="0">
      <v xml:space="preserve">Wikipedia	</v>
      <v xml:space="preserve">CC-BY-SA	</v>
      <v xml:space="preserve">http://en.wikipedia.org/wiki/France	</v>
      <v xml:space="preserve">http://creativecommons.org/licenses/by-sa/3.0/	</v>
    </spb>
    <spb s="0">
      <v xml:space="preserve">Cia	</v>
      <v xml:space="preserve">	</v>
      <v xml:space="preserve">https://www.cia.gov/library/publications/the-world-factbook/geos/fr.html?Transportation	</v>
      <v xml:space="preserve">	</v>
    </spb>
    <spb s="9">
      <v>0</v>
      <v>64</v>
      <v>65</v>
      <v>65</v>
      <v>3</v>
      <v>65</v>
      <v>65</v>
      <v>65</v>
      <v>66</v>
      <v>65</v>
      <v>65</v>
      <v>66</v>
      <v>65</v>
      <v>65</v>
      <v>67</v>
      <v>6</v>
      <v>64</v>
      <v>67</v>
      <v>7</v>
      <v>65</v>
      <v>67</v>
      <v>8</v>
      <v>9</v>
      <v>10</v>
      <v>67</v>
      <v>67</v>
      <v>65</v>
      <v>67</v>
      <v>11</v>
      <v>12</v>
      <v>13</v>
      <v>14</v>
      <v>67</v>
      <v>64</v>
      <v>67</v>
      <v>67</v>
      <v>67</v>
      <v>67</v>
      <v>67</v>
      <v>67</v>
      <v>67</v>
      <v>67</v>
      <v>67</v>
      <v>67</v>
      <v>15</v>
    </spb>
    <spb s="2">
      <v>4</v>
      <v>Name</v>
      <v>LearnMoreOnLink</v>
    </spb>
    <spb s="10">
      <v>2019</v>
      <v>2019</v>
      <v>square km</v>
      <v>per thousand (2018)</v>
      <v>2022</v>
      <v>2019</v>
      <v>2018</v>
      <v>per liter (2016)</v>
      <v>2019</v>
      <v>years (2018)</v>
      <v>2018</v>
      <v>per thousand (2018)</v>
      <v>2019</v>
      <v>2017</v>
      <v>2016</v>
      <v>2019</v>
      <v>2016</v>
      <v>2018</v>
      <v>kilotons per year (2014)</v>
      <v>deaths per 100,000 (2017)</v>
      <v>kWh (2014)</v>
      <v>2015</v>
      <v>2018</v>
      <v>2017</v>
      <v>2017</v>
      <v>2017</v>
      <v>2017</v>
      <v>2017</v>
      <v>2015</v>
      <v>2017</v>
      <v>2017</v>
      <v>2017</v>
      <v>2017</v>
      <v>2019</v>
    </spb>
    <spb s="0">
      <v xml:space="preserve">Wikipedia	</v>
      <v xml:space="preserve">CC-BY-SA	</v>
      <v xml:space="preserve">http://en.wikipedia.org/wiki/Gibraltar	</v>
      <v xml:space="preserve">http://creativecommons.org/licenses/by-sa/3.0/	</v>
    </spb>
    <spb s="0">
      <v xml:space="preserve">Wikipedia	</v>
      <v xml:space="preserve">CC BY-SA 3.0	</v>
      <v xml:space="preserve">https://en.wikipedia.org/wiki/Gibraltar	</v>
      <v xml:space="preserve">https://creativecommons.org/licenses/by-sa/3.0	</v>
    </spb>
    <spb s="14">
      <v>71</v>
      <v>72</v>
      <v>72</v>
      <v>72</v>
      <v>72</v>
      <v>72</v>
      <v>71</v>
      <v>72</v>
      <v>71</v>
      <v>72</v>
      <v>72</v>
      <v>72</v>
      <v>71</v>
    </spb>
    <spb s="2">
      <v>5</v>
      <v>Name</v>
      <v>LearnMoreOnLink</v>
    </spb>
    <spb s="15">
      <v>2008</v>
      <v>square km</v>
      <v>2022</v>
    </spb>
    <spb s="0">
      <v xml:space="preserve">Wikipedia	Cia	travel.state.gov	</v>
      <v xml:space="preserve">CC-BY-SA			</v>
      <v xml:space="preserve">http://en.wikipedia.org/wiki/Greece	https://www.cia.gov/library/publications/the-world-factbook/geos/gr.html?Transportation	https://travel.state.gov/content/travel/en/international-travel/International-Travel-Country-Information-Pages/Greece.html	</v>
      <v xml:space="preserve">http://creativecommons.org/licenses/by-sa/3.0/			</v>
    </spb>
    <spb s="0">
      <v xml:space="preserve">Wikipedia	</v>
      <v xml:space="preserve">CC BY-SA 3.0	</v>
      <v xml:space="preserve">https://en.wikipedia.org/wiki/Greece	</v>
      <v xml:space="preserve">https://creativecommons.org/licenses/by-sa/3.0	</v>
    </spb>
    <spb s="0">
      <v xml:space="preserve">Wikipedia	</v>
      <v xml:space="preserve">CC-BY-SA	</v>
      <v xml:space="preserve">http://en.wikipedia.org/wiki/Greece	</v>
      <v xml:space="preserve">http://creativecommons.org/licenses/by-sa/3.0/	</v>
    </spb>
    <spb s="0">
      <v xml:space="preserve">Cia	</v>
      <v xml:space="preserve">	</v>
      <v xml:space="preserve">https://www.cia.gov/library/publications/the-world-factbook/geos/gr.html?Transportation	</v>
      <v xml:space="preserve">	</v>
    </spb>
    <spb s="9">
      <v>0</v>
      <v>76</v>
      <v>77</v>
      <v>77</v>
      <v>3</v>
      <v>77</v>
      <v>77</v>
      <v>77</v>
      <v>78</v>
      <v>77</v>
      <v>77</v>
      <v>78</v>
      <v>77</v>
      <v>77</v>
      <v>79</v>
      <v>6</v>
      <v>76</v>
      <v>79</v>
      <v>7</v>
      <v>77</v>
      <v>79</v>
      <v>8</v>
      <v>9</v>
      <v>10</v>
      <v>79</v>
      <v>79</v>
      <v>77</v>
      <v>79</v>
      <v>11</v>
      <v>12</v>
      <v>13</v>
      <v>14</v>
      <v>79</v>
      <v>76</v>
      <v>79</v>
      <v>79</v>
      <v>79</v>
      <v>79</v>
      <v>79</v>
      <v>79</v>
      <v>79</v>
      <v>79</v>
      <v>79</v>
      <v>79</v>
      <v>15</v>
    </spb>
    <spb s="10">
      <v>2019</v>
      <v>2019</v>
      <v>square km</v>
      <v>per thousand (2018)</v>
      <v>2022</v>
      <v>2019</v>
      <v>2018</v>
      <v>per liter (2016)</v>
      <v>2019</v>
      <v>years (2018)</v>
      <v>2018</v>
      <v>per thousand (2018)</v>
      <v>2019</v>
      <v>2017</v>
      <v>2016</v>
      <v>2019</v>
      <v>2016</v>
      <v>2017</v>
      <v>kilotons per year (2016)</v>
      <v>deaths per 100,000 (2017)</v>
      <v>kWh (2014)</v>
      <v>2015</v>
      <v>2019</v>
      <v>2017</v>
      <v>2017</v>
      <v>2017</v>
      <v>2017</v>
      <v>2017</v>
      <v>2015</v>
      <v>2017</v>
      <v>2017</v>
      <v>2017</v>
      <v>2017</v>
      <v>2019</v>
    </spb>
    <spb s="0">
      <v xml:space="preserve">Wikipedia	Cia	</v>
      <v xml:space="preserve">CC-BY-SA		</v>
      <v xml:space="preserve">http://en.wikipedia.org/wiki/Israel	https://www.cia.gov/library/publications/the-world-factbook/geos/is.html?Transportation	</v>
      <v xml:space="preserve">http://creativecommons.org/licenses/by-sa/3.0/		</v>
    </spb>
    <spb s="0">
      <v xml:space="preserve">Wikipedia	</v>
      <v xml:space="preserve">CC BY-SA 3.0	</v>
      <v xml:space="preserve">https://en.wikipedia.org/wiki/Israel	</v>
      <v xml:space="preserve">https://creativecommons.org/licenses/by-sa/3.0	</v>
    </spb>
    <spb s="0">
      <v xml:space="preserve">Wikipedia	</v>
      <v xml:space="preserve">CC-BY-SA	</v>
      <v xml:space="preserve">http://en.wikipedia.org/wiki/Israel	</v>
      <v xml:space="preserve">http://creativecommons.org/licenses/by-sa/3.0/	</v>
    </spb>
    <spb s="0">
      <v xml:space="preserve">Cia	</v>
      <v xml:space="preserve">	</v>
      <v xml:space="preserve">https://www.cia.gov/library/publications/the-world-factbook/geos/is.html?Transportation	</v>
      <v xml:space="preserve">	</v>
    </spb>
    <spb s="9">
      <v>0</v>
      <v>82</v>
      <v>83</v>
      <v>83</v>
      <v>3</v>
      <v>83</v>
      <v>83</v>
      <v>83</v>
      <v>84</v>
      <v>83</v>
      <v>83</v>
      <v>84</v>
      <v>83</v>
      <v>83</v>
      <v>85</v>
      <v>6</v>
      <v>82</v>
      <v>85</v>
      <v>7</v>
      <v>83</v>
      <v>85</v>
      <v>8</v>
      <v>9</v>
      <v>10</v>
      <v>85</v>
      <v>85</v>
      <v>83</v>
      <v>85</v>
      <v>11</v>
      <v>12</v>
      <v>13</v>
      <v>14</v>
      <v>85</v>
      <v>82</v>
      <v>85</v>
      <v>85</v>
      <v>85</v>
      <v>85</v>
      <v>85</v>
      <v>85</v>
      <v>85</v>
      <v>85</v>
      <v>85</v>
      <v>85</v>
      <v>15</v>
    </spb>
    <spb s="10">
      <v>2019</v>
      <v>2019</v>
      <v>square km</v>
      <v>per thousand (2018)</v>
      <v>2022</v>
      <v>2019</v>
      <v>2018</v>
      <v>per liter (2016)</v>
      <v>2019</v>
      <v>years (2018)</v>
      <v>2018</v>
      <v>per thousand (2018)</v>
      <v>2019</v>
      <v>2017</v>
      <v>2016</v>
      <v>2019</v>
      <v>2016</v>
      <v>2018</v>
      <v>kilotons per year (2016)</v>
      <v>deaths per 100,000 (2017)</v>
      <v>kWh (2014)</v>
      <v>2015</v>
      <v>2019</v>
      <v>2016</v>
      <v>2016</v>
      <v>2016</v>
      <v>2016</v>
      <v>2016</v>
      <v>2015</v>
      <v>2016</v>
      <v>2016</v>
      <v>2017</v>
      <v>2017</v>
      <v>2019</v>
    </spb>
    <spb s="0">
      <v xml:space="preserve">Wikipedia	Wikipedia	Cia	travel.state.gov	</v>
      <v xml:space="preserve">CC-BY-SA	CC-BY-SA			</v>
      <v xml:space="preserve">http://es.wikipedia.org/wiki/Italia	http://en.wikipedia.org/wiki/Italy	https://www.cia.gov/library/publications/the-world-factbook/geos/it.html?Transportation	https://travel.state.gov/content/travel/en/international-travel/International-Travel-Country-Information-Pages/SanMarino.html	</v>
      <v xml:space="preserve">http://creativecommons.org/licenses/by-sa/3.0/	http://creativecommons.org/licenses/by-sa/3.0/			</v>
    </spb>
    <spb s="0">
      <v xml:space="preserve">Wikipedia	</v>
      <v xml:space="preserve">CC BY-SA 3.0	</v>
      <v xml:space="preserve">https://en.wikipedia.org/wiki/Italy	</v>
      <v xml:space="preserve">https://creativecommons.org/licenses/by-sa/3.0	</v>
    </spb>
    <spb s="0">
      <v xml:space="preserve">Wikipedia	</v>
      <v xml:space="preserve">CC-BY-SA	</v>
      <v xml:space="preserve">http://en.wikipedia.org/wiki/Italy	</v>
      <v xml:space="preserve">http://creativecommons.org/licenses/by-sa/3.0/	</v>
    </spb>
    <spb s="0">
      <v xml:space="preserve">Cia	</v>
      <v xml:space="preserve">	</v>
      <v xml:space="preserve">https://www.cia.gov/library/publications/the-world-factbook/geos/it.html?Transportation	</v>
      <v xml:space="preserve">	</v>
    </spb>
    <spb s="13">
      <v>0</v>
      <v>88</v>
      <v>89</v>
      <v>89</v>
      <v>3</v>
      <v>89</v>
      <v>89</v>
      <v>89</v>
      <v>90</v>
      <v>89</v>
      <v>89</v>
      <v>89</v>
      <v>89</v>
      <v>91</v>
      <v>6</v>
      <v>88</v>
      <v>91</v>
      <v>7</v>
      <v>89</v>
      <v>91</v>
      <v>8</v>
      <v>9</v>
      <v>10</v>
      <v>91</v>
      <v>91</v>
      <v>89</v>
      <v>91</v>
      <v>11</v>
      <v>12</v>
      <v>13</v>
      <v>14</v>
      <v>91</v>
      <v>88</v>
      <v>91</v>
      <v>91</v>
      <v>91</v>
      <v>91</v>
      <v>91</v>
      <v>91</v>
      <v>91</v>
      <v>91</v>
      <v>91</v>
      <v>91</v>
      <v>15</v>
    </spb>
    <spb s="10">
      <v>2019</v>
      <v>2019</v>
      <v>square km</v>
      <v>per thousand (2018)</v>
      <v>2022</v>
      <v>2019</v>
      <v>2018</v>
      <v>per liter (2016)</v>
      <v>2019</v>
      <v>years (2018)</v>
      <v>2018</v>
      <v>per thousand (2018)</v>
      <v>2019</v>
      <v>2017</v>
      <v>2016</v>
      <v>2019</v>
      <v>2016</v>
      <v>2018</v>
      <v>kilotons per year (2014)</v>
      <v>deaths per 100,000 (2017)</v>
      <v>kWh (2014)</v>
      <v>2015</v>
      <v>2008</v>
      <v>2017</v>
      <v>2017</v>
      <v>2017</v>
      <v>2017</v>
      <v>2017</v>
      <v>2015</v>
      <v>2017</v>
      <v>2017</v>
      <v>2017</v>
      <v>2017</v>
      <v>2019</v>
    </spb>
    <spb s="0">
      <v xml:space="preserve">Wikipedia	Cia	travel.state.gov	</v>
      <v xml:space="preserve">CC-BY-SA			</v>
      <v xml:space="preserve">http://en.wikipedia.org/wiki/Lebanon	https://www.cia.gov/library/publications/the-world-factbook/geos/le.html?Transportation	https://travel.state.gov/content/travel/en/international-travel/International-Travel-Country-Information-Pages/Lebanon.html	</v>
      <v xml:space="preserve">http://creativecommons.org/licenses/by-sa/3.0/			</v>
    </spb>
    <spb s="0">
      <v xml:space="preserve">Wikipedia	</v>
      <v xml:space="preserve">CC BY-SA 3.0	</v>
      <v xml:space="preserve">https://en.wikipedia.org/wiki/Lebanon	</v>
      <v xml:space="preserve">https://creativecommons.org/licenses/by-sa/3.0	</v>
    </spb>
    <spb s="0">
      <v xml:space="preserve">Wikipedia	</v>
      <v xml:space="preserve">CC-BY-SA	</v>
      <v xml:space="preserve">http://en.wikipedia.org/wiki/Lebanon	</v>
      <v xml:space="preserve">http://creativecommons.org/licenses/by-sa/3.0/	</v>
    </spb>
    <spb s="0">
      <v xml:space="preserve">Cia	</v>
      <v xml:space="preserve">	</v>
      <v xml:space="preserve">https://www.cia.gov/library/publications/the-world-factbook/geos/le.html?Transportation	</v>
      <v xml:space="preserve">	</v>
    </spb>
    <spb s="9">
      <v>0</v>
      <v>94</v>
      <v>95</v>
      <v>95</v>
      <v>3</v>
      <v>95</v>
      <v>95</v>
      <v>95</v>
      <v>96</v>
      <v>95</v>
      <v>95</v>
      <v>96</v>
      <v>95</v>
      <v>95</v>
      <v>97</v>
      <v>6</v>
      <v>94</v>
      <v>97</v>
      <v>7</v>
      <v>95</v>
      <v>97</v>
      <v>8</v>
      <v>9</v>
      <v>10</v>
      <v>97</v>
      <v>97</v>
      <v>95</v>
      <v>97</v>
      <v>11</v>
      <v>12</v>
      <v>13</v>
      <v>14</v>
      <v>97</v>
      <v>94</v>
      <v>97</v>
      <v>97</v>
      <v>97</v>
      <v>97</v>
      <v>97</v>
      <v>97</v>
      <v>97</v>
      <v>97</v>
      <v>97</v>
      <v>97</v>
      <v>15</v>
    </spb>
    <spb s="10">
      <v>2019</v>
      <v>2019</v>
      <v>square km</v>
      <v>per thousand (2018)</v>
      <v>2022</v>
      <v>2019</v>
      <v>2018</v>
      <v>per liter (2016)</v>
      <v>2019</v>
      <v>years (2018)</v>
      <v>2018</v>
      <v>per thousand (2018)</v>
      <v>2019</v>
      <v>2017</v>
      <v>2016</v>
      <v>2019</v>
      <v>2016</v>
      <v>2018</v>
      <v>kilotons per year (2016)</v>
      <v>deaths per 100,000 (2017)</v>
      <v>kWh (2014)</v>
      <v>2014</v>
      <v>2019</v>
      <v>2011</v>
      <v>2011</v>
      <v>2011</v>
      <v>2011</v>
      <v>2011</v>
      <v>2015</v>
      <v>2011</v>
      <v>2011</v>
      <v>1985</v>
      <v>1985</v>
      <v>2019</v>
    </spb>
    <spb s="0">
      <v xml:space="preserve">Wikipedia	Cia	travel.state.gov	</v>
      <v xml:space="preserve">CC-BY-SA			</v>
      <v xml:space="preserve">http://en.wikipedia.org/wiki/Libya	https://www.cia.gov/library/publications/the-world-factbook/geos/ly.html?Transportation	https://travel.state.gov/content/travel/en/international-travel/International-Travel-Country-Information-Pages/Libya.html	</v>
      <v xml:space="preserve">http://creativecommons.org/licenses/by-sa/3.0/			</v>
    </spb>
    <spb s="0">
      <v xml:space="preserve">Wikipedia	</v>
      <v xml:space="preserve">CC BY-SA 3.0	</v>
      <v xml:space="preserve">https://en.wikipedia.org/wiki/Libya	</v>
      <v xml:space="preserve">https://creativecommons.org/licenses/by-sa/3.0	</v>
    </spb>
    <spb s="0">
      <v xml:space="preserve">Wikipedia	</v>
      <v xml:space="preserve">CC-BY-SA	</v>
      <v xml:space="preserve">http://en.wikipedia.org/wiki/Libya	</v>
      <v xml:space="preserve">http://creativecommons.org/licenses/by-sa/3.0/	</v>
    </spb>
    <spb s="0">
      <v xml:space="preserve">Cia	</v>
      <v xml:space="preserve">	</v>
      <v xml:space="preserve">https://www.cia.gov/library/publications/the-world-factbook/geos/ly.html?Transportation	</v>
      <v xml:space="preserve">	</v>
    </spb>
    <spb s="16">
      <v>0</v>
      <v>100</v>
      <v>101</v>
      <v>101</v>
      <v>3</v>
      <v>101</v>
      <v>101</v>
      <v>101</v>
      <v>102</v>
      <v>101</v>
      <v>101</v>
      <v>102</v>
      <v>101</v>
      <v>101</v>
      <v>103</v>
      <v>6</v>
      <v>100</v>
      <v>103</v>
      <v>7</v>
      <v>101</v>
      <v>8</v>
      <v>9</v>
      <v>10</v>
      <v>103</v>
      <v>103</v>
      <v>101</v>
      <v>103</v>
      <v>11</v>
      <v>12</v>
      <v>13</v>
      <v>14</v>
      <v>103</v>
      <v>103</v>
      <v>103</v>
      <v>103</v>
      <v>15</v>
    </spb>
    <spb s="2">
      <v>6</v>
      <v>Name</v>
      <v>LearnMoreOnLink</v>
    </spb>
    <spb s="17">
      <v>2013</v>
      <v>2019</v>
      <v>square km</v>
      <v>per thousand (2018)</v>
      <v>2022</v>
      <v>2013</v>
      <v>2018</v>
      <v>per liter (2016)</v>
      <v>2019</v>
      <v>years (2018)</v>
      <v>per thousand (2018)</v>
      <v>2019</v>
      <v>2014</v>
      <v>2016</v>
      <v>2019</v>
      <v>2016</v>
      <v>2017</v>
      <v>kilotons per year (2016)</v>
      <v>deaths per 100,000 (2017)</v>
      <v>kWh (2014)</v>
      <v>2014</v>
      <v>2011</v>
      <v>2006</v>
      <v>2003</v>
      <v>2019</v>
    </spb>
    <spb s="0">
      <v xml:space="preserve">Wikipedia	Cia	travel.state.gov	</v>
      <v xml:space="preserve">CC-BY-SA			</v>
      <v xml:space="preserve">http://en.wikipedia.org/wiki/Malta	https://www.cia.gov/library/publications/the-world-factbook/geos/mt.html?Transportation	https://travel.state.gov/content/travel/en/international-travel/International-Travel-Country-Information-Pages/Malta.html	</v>
      <v xml:space="preserve">http://creativecommons.org/licenses/by-sa/3.0/			</v>
    </spb>
    <spb s="0">
      <v xml:space="preserve">Wikipedia	</v>
      <v xml:space="preserve">CC BY-SA 3.0	</v>
      <v xml:space="preserve">https://en.wikipedia.org/wiki/Malta	</v>
      <v xml:space="preserve">https://creativecommons.org/licenses/by-sa/3.0	</v>
    </spb>
    <spb s="0">
      <v xml:space="preserve">Wikipedia	</v>
      <v xml:space="preserve">CC-BY-SA	</v>
      <v xml:space="preserve">http://en.wikipedia.org/wiki/Malta	</v>
      <v xml:space="preserve">http://creativecommons.org/licenses/by-sa/3.0/	</v>
    </spb>
    <spb s="0">
      <v xml:space="preserve">Cia	</v>
      <v xml:space="preserve">	</v>
      <v xml:space="preserve">https://www.cia.gov/library/publications/the-world-factbook/geos/mt.html?Transportation	</v>
      <v xml:space="preserve">	</v>
    </spb>
    <spb s="18">
      <v>0</v>
      <v>107</v>
      <v>108</v>
      <v>108</v>
      <v>3</v>
      <v>108</v>
      <v>108</v>
      <v>108</v>
      <v>109</v>
      <v>108</v>
      <v>109</v>
      <v>108</v>
      <v>108</v>
      <v>110</v>
      <v>6</v>
      <v>107</v>
      <v>110</v>
      <v>7</v>
      <v>108</v>
      <v>110</v>
      <v>8</v>
      <v>9</v>
      <v>10</v>
      <v>110</v>
      <v>110</v>
      <v>108</v>
      <v>110</v>
      <v>11</v>
      <v>12</v>
      <v>13</v>
      <v>14</v>
      <v>110</v>
      <v>107</v>
      <v>110</v>
      <v>110</v>
      <v>110</v>
      <v>110</v>
      <v>110</v>
      <v>110</v>
      <v>110</v>
      <v>110</v>
      <v>110</v>
      <v>110</v>
      <v>15</v>
    </spb>
    <spb s="2">
      <v>7</v>
      <v>Name</v>
      <v>LearnMoreOnLink</v>
    </spb>
    <spb s="10">
      <v>2019</v>
      <v>2019</v>
      <v>square km</v>
      <v>per thousand (2018)</v>
      <v>2022</v>
      <v>2019</v>
      <v>2018</v>
      <v>per liter (2016)</v>
      <v>2019</v>
      <v>years (2018)</v>
      <v>2018</v>
      <v>per thousand (2018)</v>
      <v>2019</v>
      <v>2017</v>
      <v>2016</v>
      <v>2019</v>
      <v>2016</v>
      <v>2015</v>
      <v>kilotons per year (2016)</v>
      <v>deaths per 100,000 (2017)</v>
      <v>kWh (2014)</v>
      <v>2014</v>
      <v>2019</v>
      <v>2017</v>
      <v>2017</v>
      <v>2017</v>
      <v>2017</v>
      <v>2017</v>
      <v>2015</v>
      <v>2017</v>
      <v>2017</v>
      <v>2017</v>
      <v>2017</v>
      <v>2019</v>
    </spb>
    <spb s="0">
      <v xml:space="preserve">Wikipedia	Cia	</v>
      <v xml:space="preserve">CC-BY-SA		</v>
      <v xml:space="preserve">http://en.wikipedia.org/wiki/Monaco	https://www.cia.gov/library/publications/the-world-factbook/geos/mn.html?Transportation	</v>
      <v xml:space="preserve">http://creativecommons.org/licenses/by-sa/3.0/		</v>
    </spb>
    <spb s="0">
      <v xml:space="preserve">Wikipedia	</v>
      <v xml:space="preserve">CC BY-SA 3.0	</v>
      <v xml:space="preserve">https://en.wikipedia.org/wiki/Monaco	</v>
      <v xml:space="preserve">https://creativecommons.org/licenses/by-sa/3.0	</v>
    </spb>
    <spb s="0">
      <v xml:space="preserve">Wikipedia	</v>
      <v xml:space="preserve">CC-BY-SA	</v>
      <v xml:space="preserve">http://en.wikipedia.org/wiki/Monaco	</v>
      <v xml:space="preserve">http://creativecommons.org/licenses/by-sa/3.0/	</v>
    </spb>
    <spb s="0">
      <v xml:space="preserve">Cia	</v>
      <v xml:space="preserve">	</v>
      <v xml:space="preserve">https://www.cia.gov/library/publications/the-world-factbook/geos/mn.html?Transportation	</v>
      <v xml:space="preserve">	</v>
    </spb>
    <spb s="19">
      <v>114</v>
      <v>115</v>
      <v>115</v>
      <v>3</v>
      <v>115</v>
      <v>115</v>
      <v>115</v>
      <v>116</v>
      <v>115</v>
      <v>115</v>
      <v>116</v>
      <v>115</v>
      <v>115</v>
      <v>114</v>
      <v>115</v>
      <v>8</v>
      <v>9</v>
      <v>115</v>
      <v>11</v>
      <v>117</v>
    </spb>
    <spb s="2">
      <v>8</v>
      <v>Name</v>
      <v>LearnMoreOnLink</v>
    </spb>
    <spb s="20">
      <v>2018</v>
      <v>square km</v>
      <v>per thousand (2018)</v>
      <v>2022</v>
      <v>per liter (2014)</v>
      <v>per thousand (2018)</v>
      <v>2019</v>
      <v>2014</v>
      <v>2015</v>
    </spb>
    <spb s="0">
      <v xml:space="preserve">Wikipedia	Cia	travel.state.gov	</v>
      <v xml:space="preserve">CC-BY-SA			</v>
      <v xml:space="preserve">http://en.wikipedia.org/wiki/Montenegro	https://www.cia.gov/library/publications/the-world-factbook/geos/mj.html?Transportation	https://travel.state.gov/content/travel/en/international-travel/International-Travel-Country-Information-Pages/Montenegro.html	</v>
      <v xml:space="preserve">http://creativecommons.org/licenses/by-sa/3.0/			</v>
    </spb>
    <spb s="0">
      <v xml:space="preserve">Wikipedia	</v>
      <v xml:space="preserve">CC BY-SA 3.0	</v>
      <v xml:space="preserve">https://en.wikipedia.org/wiki/Montenegro	</v>
      <v xml:space="preserve">https://creativecommons.org/licenses/by-sa/3.0	</v>
    </spb>
    <spb s="0">
      <v xml:space="preserve">Wikipedia	</v>
      <v xml:space="preserve">CC-BY-SA	</v>
      <v xml:space="preserve">http://en.wikipedia.org/wiki/Montenegro	</v>
      <v xml:space="preserve">http://creativecommons.org/licenses/by-sa/3.0/	</v>
    </spb>
    <spb s="0">
      <v xml:space="preserve">Cia	</v>
      <v xml:space="preserve">	</v>
      <v xml:space="preserve">https://www.cia.gov/library/publications/the-world-factbook/geos/mj.html?Transportation	</v>
      <v xml:space="preserve">	</v>
    </spb>
    <spb s="21">
      <v>0</v>
      <v>121</v>
      <v>122</v>
      <v>122</v>
      <v>3</v>
      <v>122</v>
      <v>122</v>
      <v>122</v>
      <v>123</v>
      <v>122</v>
      <v>122</v>
      <v>123</v>
      <v>122</v>
      <v>122</v>
      <v>124</v>
      <v>6</v>
      <v>121</v>
      <v>124</v>
      <v>7</v>
      <v>122</v>
      <v>8</v>
      <v>9</v>
      <v>10</v>
      <v>124</v>
      <v>124</v>
      <v>122</v>
      <v>124</v>
      <v>11</v>
      <v>12</v>
      <v>13</v>
      <v>14</v>
      <v>124</v>
      <v>121</v>
      <v>124</v>
      <v>124</v>
      <v>124</v>
      <v>124</v>
      <v>124</v>
      <v>124</v>
      <v>124</v>
      <v>124</v>
      <v>124</v>
      <v>124</v>
      <v>15</v>
    </spb>
    <spb s="2">
      <v>9</v>
      <v>Name</v>
      <v>LearnMoreOnLink</v>
    </spb>
    <spb s="22">
      <v>2018</v>
      <v>2019</v>
      <v>square km</v>
      <v>per thousand (2018)</v>
      <v>2022</v>
      <v>2018</v>
      <v>2018</v>
      <v>per liter (2016)</v>
      <v>2019</v>
      <v>years (2018)</v>
      <v>per thousand (2018)</v>
      <v>2019</v>
      <v>2017</v>
      <v>2016</v>
      <v>2019</v>
      <v>2016</v>
      <v>2018</v>
      <v>kilotons per year (2016)</v>
      <v>deaths per 100,000 (2017)</v>
      <v>kWh (2014)</v>
      <v>2014</v>
      <v>2012</v>
      <v>2015</v>
      <v>2015</v>
      <v>2015</v>
      <v>2015</v>
      <v>2015</v>
      <v>2015</v>
      <v>2015</v>
      <v>2015</v>
      <v>2018</v>
      <v>2018</v>
      <v>2019</v>
    </spb>
    <spb s="0">
      <v xml:space="preserve">Wikipedia	Cia	travel.state.gov	</v>
      <v xml:space="preserve">CC-BY-SA			</v>
      <v xml:space="preserve">http://en.wikipedia.org/wiki/Morocco	https://www.cia.gov/library/publications/the-world-factbook/geos/mo.html?Transportation	https://travel.state.gov/content/travel/en/international-travel/International-Travel-Country-Information-Pages/Morocco.html	</v>
      <v xml:space="preserve">http://creativecommons.org/licenses/by-sa/3.0/			</v>
    </spb>
    <spb s="0">
      <v xml:space="preserve">Wikipedia	</v>
      <v xml:space="preserve">CC BY-SA 3.0	</v>
      <v xml:space="preserve">https://en.wikipedia.org/wiki/Morocco	</v>
      <v xml:space="preserve">https://creativecommons.org/licenses/by-sa/3.0	</v>
    </spb>
    <spb s="0">
      <v xml:space="preserve">Wikipedia	</v>
      <v xml:space="preserve">CC-BY-SA	</v>
      <v xml:space="preserve">http://en.wikipedia.org/wiki/Morocco	</v>
      <v xml:space="preserve">http://creativecommons.org/licenses/by-sa/3.0/	</v>
    </spb>
    <spb s="0">
      <v xml:space="preserve">Cia	</v>
      <v xml:space="preserve">	</v>
      <v xml:space="preserve">https://www.cia.gov/library/publications/the-world-factbook/geos/mo.html?Transportation	</v>
      <v xml:space="preserve">	</v>
    </spb>
    <spb s="9">
      <v>0</v>
      <v>128</v>
      <v>129</v>
      <v>129</v>
      <v>3</v>
      <v>129</v>
      <v>129</v>
      <v>129</v>
      <v>130</v>
      <v>129</v>
      <v>129</v>
      <v>130</v>
      <v>129</v>
      <v>129</v>
      <v>131</v>
      <v>6</v>
      <v>128</v>
      <v>131</v>
      <v>7</v>
      <v>129</v>
      <v>131</v>
      <v>8</v>
      <v>9</v>
      <v>10</v>
      <v>131</v>
      <v>131</v>
      <v>129</v>
      <v>131</v>
      <v>11</v>
      <v>12</v>
      <v>13</v>
      <v>14</v>
      <v>131</v>
      <v>128</v>
      <v>131</v>
      <v>131</v>
      <v>131</v>
      <v>131</v>
      <v>131</v>
      <v>131</v>
      <v>131</v>
      <v>131</v>
      <v>131</v>
      <v>131</v>
      <v>15</v>
    </spb>
    <spb s="10">
      <v>2019</v>
      <v>2019</v>
      <v>square km</v>
      <v>per thousand (2018)</v>
      <v>2022</v>
      <v>2019</v>
      <v>2018</v>
      <v>per liter (2016)</v>
      <v>2019</v>
      <v>years (2018)</v>
      <v>2018</v>
      <v>per thousand (2018)</v>
      <v>2019</v>
      <v>2017</v>
      <v>2016</v>
      <v>2019</v>
      <v>2016</v>
      <v>2017</v>
      <v>kilotons per year (2016)</v>
      <v>deaths per 100,000 (2017)</v>
      <v>kWh (2014)</v>
      <v>2014</v>
      <v>2019</v>
      <v>2013</v>
      <v>2013</v>
      <v>2013</v>
      <v>2013</v>
      <v>2013</v>
      <v>2015</v>
      <v>2013</v>
      <v>2013</v>
      <v>2018</v>
      <v>2018</v>
      <v>2019</v>
    </spb>
    <spb s="0">
      <v xml:space="preserve">Wikipedia	</v>
      <v xml:space="preserve">CC-BY-SA	</v>
      <v xml:space="preserve">http://en.wikipedia.org/wiki/Palestinian_National_Authority	</v>
      <v xml:space="preserve">http://creativecommons.org/licenses/by-sa/3.0/	</v>
    </spb>
    <spb s="0">
      <v xml:space="preserve">Wikipedia	</v>
      <v xml:space="preserve">CC BY-SA 3.0	</v>
      <v xml:space="preserve">https://en.wikipedia.org/wiki/Palestinian_National_Authority	</v>
      <v xml:space="preserve">https://creativecommons.org/licenses/by-sa/3.0	</v>
    </spb>
    <spb s="23">
      <v>134</v>
      <v>134</v>
      <v>135</v>
      <v>135</v>
      <v>135</v>
      <v>135</v>
      <v>135</v>
    </spb>
    <spb s="2">
      <v>10</v>
      <v>Name</v>
      <v>LearnMoreOnLink</v>
    </spb>
    <spb s="24">
      <v>18</v>
      <v>18</v>
    </spb>
    <spb s="25">
      <v>2005</v>
      <v>square km</v>
    </spb>
    <spb s="0">
      <v xml:space="preserve">Wikipedia	Cia	travel.state.gov	</v>
      <v xml:space="preserve">CC-BY-SA			</v>
      <v xml:space="preserve">http://en.wikipedia.org/wiki/Slovenia	https://www.cia.gov/library/publications/the-world-factbook/geos/si.html?Transportation	https://travel.state.gov/content/travel/en/international-travel/International-Travel-Country-Information-Pages/Slovenia.html	</v>
      <v xml:space="preserve">http://creativecommons.org/licenses/by-sa/3.0/			</v>
    </spb>
    <spb s="0">
      <v xml:space="preserve">Wikipedia	</v>
      <v xml:space="preserve">CC BY-SA 3.0	</v>
      <v xml:space="preserve">https://en.wikipedia.org/wiki/Slovenia	</v>
      <v xml:space="preserve">https://creativecommons.org/licenses/by-sa/3.0	</v>
    </spb>
    <spb s="0">
      <v xml:space="preserve">Wikipedia	</v>
      <v xml:space="preserve">CC-BY-SA	</v>
      <v xml:space="preserve">http://en.wikipedia.org/wiki/Slovenia	</v>
      <v xml:space="preserve">http://creativecommons.org/licenses/by-sa/3.0/	</v>
    </spb>
    <spb s="0">
      <v xml:space="preserve">Cia	</v>
      <v xml:space="preserve">	</v>
      <v xml:space="preserve">https://www.cia.gov/library/publications/the-world-factbook/geos/si.html?Transportation	</v>
      <v xml:space="preserve">	</v>
    </spb>
    <spb s="9">
      <v>0</v>
      <v>140</v>
      <v>141</v>
      <v>141</v>
      <v>3</v>
      <v>141</v>
      <v>141</v>
      <v>141</v>
      <v>142</v>
      <v>141</v>
      <v>141</v>
      <v>142</v>
      <v>141</v>
      <v>141</v>
      <v>143</v>
      <v>6</v>
      <v>140</v>
      <v>143</v>
      <v>7</v>
      <v>141</v>
      <v>143</v>
      <v>8</v>
      <v>9</v>
      <v>10</v>
      <v>143</v>
      <v>143</v>
      <v>141</v>
      <v>143</v>
      <v>11</v>
      <v>12</v>
      <v>13</v>
      <v>14</v>
      <v>143</v>
      <v>140</v>
      <v>143</v>
      <v>143</v>
      <v>143</v>
      <v>143</v>
      <v>143</v>
      <v>143</v>
      <v>143</v>
      <v>143</v>
      <v>143</v>
      <v>143</v>
      <v>15</v>
    </spb>
    <spb s="0">
      <v xml:space="preserve">Wikipedia	Cia	Facebook	</v>
      <v xml:space="preserve">CC-BY-SA			</v>
      <v xml:space="preserve">http://en.wikipedia.org/wiki/Spain	https://www.cia.gov/library/publications/the-world-factbook/geos/sp.html?Transportation	https://www.facebook.com/spain.info.no	</v>
      <v xml:space="preserve">http://creativecommons.org/licenses/by-sa/3.0/			</v>
    </spb>
    <spb s="0">
      <v xml:space="preserve">Wikipedia	</v>
      <v xml:space="preserve">CC BY-SA 3.0	</v>
      <v xml:space="preserve">https://en.wikipedia.org/wiki/Spain	</v>
      <v xml:space="preserve">https://creativecommons.org/licenses/by-sa/3.0	</v>
    </spb>
    <spb s="0">
      <v xml:space="preserve">Wikipedia	</v>
      <v xml:space="preserve">CC-BY-SA	</v>
      <v xml:space="preserve">http://en.wikipedia.org/wiki/Spain	</v>
      <v xml:space="preserve">http://creativecommons.org/licenses/by-sa/3.0/	</v>
    </spb>
    <spb s="0">
      <v xml:space="preserve">Cia	</v>
      <v xml:space="preserve">	</v>
      <v xml:space="preserve">https://www.cia.gov/library/publications/the-world-factbook/geos/sp.html?Transportation	</v>
      <v xml:space="preserve">	</v>
    </spb>
    <spb s="9">
      <v>0</v>
      <v>145</v>
      <v>146</v>
      <v>146</v>
      <v>3</v>
      <v>146</v>
      <v>146</v>
      <v>146</v>
      <v>147</v>
      <v>146</v>
      <v>146</v>
      <v>147</v>
      <v>146</v>
      <v>146</v>
      <v>148</v>
      <v>6</v>
      <v>145</v>
      <v>148</v>
      <v>7</v>
      <v>146</v>
      <v>148</v>
      <v>8</v>
      <v>9</v>
      <v>10</v>
      <v>148</v>
      <v>148</v>
      <v>146</v>
      <v>148</v>
      <v>11</v>
      <v>12</v>
      <v>13</v>
      <v>14</v>
      <v>148</v>
      <v>145</v>
      <v>148</v>
      <v>148</v>
      <v>148</v>
      <v>148</v>
      <v>148</v>
      <v>148</v>
      <v>148</v>
      <v>148</v>
      <v>148</v>
      <v>148</v>
      <v>15</v>
    </spb>
    <spb s="0">
      <v xml:space="preserve">Wikipedia	Cia	travel.state.gov	</v>
      <v xml:space="preserve">CC-BY-SA			</v>
      <v xml:space="preserve">http://en.wikipedia.org/wiki/Syria	https://www.cia.gov/library/publications/the-world-factbook/geos/sy.html?Transportation	https://travel.state.gov/content/travel/en/international-travel/International-Travel-Country-Information-Pages/SyrianArabRepublic.html	</v>
      <v xml:space="preserve">http://creativecommons.org/licenses/by-sa/3.0/			</v>
    </spb>
    <spb s="0">
      <v xml:space="preserve">Wikipedia	</v>
      <v xml:space="preserve">CC BY-SA 3.0	</v>
      <v xml:space="preserve">https://en.wikipedia.org/wiki/Syria	</v>
      <v xml:space="preserve">https://creativecommons.org/licenses/by-sa/3.0	</v>
    </spb>
    <spb s="0">
      <v xml:space="preserve">Wikipedia	</v>
      <v xml:space="preserve">CC-BY-SA	</v>
      <v xml:space="preserve">http://en.wikipedia.org/wiki/Syria	</v>
      <v xml:space="preserve">http://creativecommons.org/licenses/by-sa/3.0/	</v>
    </spb>
    <spb s="0">
      <v xml:space="preserve">Cia	</v>
      <v xml:space="preserve">	</v>
      <v xml:space="preserve">https://www.cia.gov/library/publications/the-world-factbook/geos/sy.html?Transportation	</v>
      <v xml:space="preserve">	</v>
    </spb>
    <spb s="1">
      <v>0</v>
      <v>150</v>
      <v>151</v>
      <v>151</v>
      <v>3</v>
      <v>151</v>
      <v>151</v>
      <v>151</v>
      <v>152</v>
      <v>151</v>
      <v>151</v>
      <v>152</v>
      <v>151</v>
      <v>151</v>
      <v>153</v>
      <v>6</v>
      <v>150</v>
      <v>153</v>
      <v>7</v>
      <v>151</v>
      <v>153</v>
      <v>8</v>
      <v>9</v>
      <v>10</v>
      <v>153</v>
      <v>153</v>
      <v>151</v>
      <v>153</v>
      <v>11</v>
      <v>12</v>
      <v>13</v>
      <v>14</v>
      <v>153</v>
      <v>153</v>
      <v>153</v>
      <v>153</v>
      <v>153</v>
      <v>153</v>
      <v>153</v>
      <v>153</v>
      <v>153</v>
      <v>153</v>
      <v>153</v>
      <v>15</v>
    </spb>
    <spb s="2">
      <v>11</v>
      <v>Name</v>
      <v>LearnMoreOnLink</v>
    </spb>
    <spb s="7">
      <v>2012</v>
      <v>2007</v>
      <v>square km</v>
      <v>per thousand (2018)</v>
      <v>2022</v>
      <v>2012</v>
      <v>2018</v>
      <v>per liter (2014)</v>
      <v>2019</v>
      <v>years (2018)</v>
      <v>2007</v>
      <v>per thousand (2018)</v>
      <v>2019</v>
      <v>2017</v>
      <v>2016</v>
      <v>2019</v>
      <v>2016</v>
      <v>2016</v>
      <v>kilotons per year (2016)</v>
      <v>deaths per 100,000 (2017)</v>
      <v>kWh (2014)</v>
      <v>2014</v>
      <v>2004</v>
      <v>2004</v>
      <v>2004</v>
      <v>2004</v>
      <v>2004</v>
      <v>2012</v>
      <v>2004</v>
      <v>2004</v>
      <v>2013</v>
      <v>2016</v>
      <v>2019</v>
    </spb>
    <spb s="0">
      <v xml:space="preserve">Wikipedia	Cia	travel.state.gov	</v>
      <v xml:space="preserve">CC-BY-SA			</v>
      <v xml:space="preserve">http://en.wikipedia.org/wiki/Tunisia	https://www.cia.gov/library/publications/the-world-factbook/geos/ts.html?Transportation	https://travel.state.gov/content/travel/en/international-travel/International-Travel-Country-Information-Pages/Tunisia.html	</v>
      <v xml:space="preserve">http://creativecommons.org/licenses/by-sa/3.0/			</v>
    </spb>
    <spb s="0">
      <v xml:space="preserve">Wikipedia	</v>
      <v xml:space="preserve">CC BY-SA 3.0	</v>
      <v xml:space="preserve">https://en.wikipedia.org/wiki/Tunisia	</v>
      <v xml:space="preserve">https://creativecommons.org/licenses/by-sa/3.0	</v>
    </spb>
    <spb s="0">
      <v xml:space="preserve">Wikipedia	</v>
      <v xml:space="preserve">CC-BY-SA	</v>
      <v xml:space="preserve">http://en.wikipedia.org/wiki/Tunisia	</v>
      <v xml:space="preserve">http://creativecommons.org/licenses/by-sa/3.0/	</v>
    </spb>
    <spb s="0">
      <v xml:space="preserve">Cia	</v>
      <v xml:space="preserve">	</v>
      <v xml:space="preserve">https://www.cia.gov/library/publications/the-world-factbook/geos/ts.html?Transportation	</v>
      <v xml:space="preserve">	</v>
    </spb>
    <spb s="9">
      <v>0</v>
      <v>157</v>
      <v>158</v>
      <v>158</v>
      <v>3</v>
      <v>158</v>
      <v>158</v>
      <v>158</v>
      <v>159</v>
      <v>158</v>
      <v>158</v>
      <v>159</v>
      <v>158</v>
      <v>158</v>
      <v>160</v>
      <v>6</v>
      <v>157</v>
      <v>160</v>
      <v>7</v>
      <v>158</v>
      <v>160</v>
      <v>8</v>
      <v>9</v>
      <v>10</v>
      <v>160</v>
      <v>160</v>
      <v>158</v>
      <v>160</v>
      <v>11</v>
      <v>12</v>
      <v>13</v>
      <v>14</v>
      <v>160</v>
      <v>157</v>
      <v>160</v>
      <v>160</v>
      <v>160</v>
      <v>160</v>
      <v>160</v>
      <v>160</v>
      <v>160</v>
      <v>160</v>
      <v>160</v>
      <v>160</v>
      <v>15</v>
    </spb>
    <spb s="10">
      <v>2019</v>
      <v>2019</v>
      <v>square km</v>
      <v>per thousand (2018)</v>
      <v>2022</v>
      <v>2019</v>
      <v>2018</v>
      <v>per liter (2016)</v>
      <v>2019</v>
      <v>years (2018)</v>
      <v>2012</v>
      <v>per thousand (2018)</v>
      <v>2019</v>
      <v>2017</v>
      <v>2016</v>
      <v>2019</v>
      <v>2016</v>
      <v>2017</v>
      <v>kilotons per year (2016)</v>
      <v>deaths per 100,000 (2017)</v>
      <v>kWh (2014)</v>
      <v>2014</v>
      <v>2019</v>
      <v>2015</v>
      <v>2015</v>
      <v>2015</v>
      <v>2015</v>
      <v>2015</v>
      <v>2015</v>
      <v>2015</v>
      <v>2015</v>
      <v>2018</v>
      <v>2018</v>
      <v>2019</v>
    </spb>
    <spb s="0">
      <v xml:space="preserve">Wikipedia	Cia	travel.state.gov	</v>
      <v xml:space="preserve">CC-BY-SA			</v>
      <v xml:space="preserve">http://en.wikipedia.org/wiki/Turkey	https://www.cia.gov/library/publications/the-world-factbook/geos/tu.html?Transportation	https://travel.state.gov/content/travel/en/international-travel/International-Travel-Country-Information-Pages/Turkey.html	</v>
      <v xml:space="preserve">http://creativecommons.org/licenses/by-sa/3.0/			</v>
    </spb>
    <spb s="0">
      <v xml:space="preserve">Wikipedia	</v>
      <v xml:space="preserve">CC BY-SA 3.0	</v>
      <v xml:space="preserve">https://en.wikipedia.org/wiki/Turkey	</v>
      <v xml:space="preserve">https://creativecommons.org/licenses/by-sa/3.0	</v>
    </spb>
    <spb s="0">
      <v xml:space="preserve">Wikipedia	</v>
      <v xml:space="preserve">CC-BY-SA	</v>
      <v xml:space="preserve">http://en.wikipedia.org/wiki/Turkey	</v>
      <v xml:space="preserve">http://creativecommons.org/licenses/by-sa/3.0/	</v>
    </spb>
    <spb s="0">
      <v xml:space="preserve">Cia	</v>
      <v xml:space="preserve">	</v>
      <v xml:space="preserve">https://www.cia.gov/library/publications/the-world-factbook/geos/tu.html?Transportation	</v>
      <v xml:space="preserve">	</v>
    </spb>
    <spb s="9">
      <v>0</v>
      <v>163</v>
      <v>164</v>
      <v>164</v>
      <v>3</v>
      <v>164</v>
      <v>164</v>
      <v>164</v>
      <v>165</v>
      <v>164</v>
      <v>164</v>
      <v>165</v>
      <v>164</v>
      <v>164</v>
      <v>166</v>
      <v>6</v>
      <v>163</v>
      <v>166</v>
      <v>7</v>
      <v>164</v>
      <v>166</v>
      <v>8</v>
      <v>9</v>
      <v>10</v>
      <v>166</v>
      <v>166</v>
      <v>164</v>
      <v>166</v>
      <v>11</v>
      <v>12</v>
      <v>13</v>
      <v>14</v>
      <v>166</v>
      <v>163</v>
      <v>166</v>
      <v>166</v>
      <v>166</v>
      <v>166</v>
      <v>166</v>
      <v>166</v>
      <v>166</v>
      <v>166</v>
      <v>166</v>
      <v>166</v>
      <v>15</v>
    </spb>
    <spb s="10">
      <v>2019</v>
      <v>2019</v>
      <v>square km</v>
      <v>per thousand (2018)</v>
      <v>2022</v>
      <v>2019</v>
      <v>2018</v>
      <v>per liter (2016)</v>
      <v>2019</v>
      <v>years (2018)</v>
      <v>2018</v>
      <v>per thousand (2018)</v>
      <v>2019</v>
      <v>2017</v>
      <v>2016</v>
      <v>2019</v>
      <v>2016</v>
      <v>2017</v>
      <v>kilotons per year (2016)</v>
      <v>deaths per 100,000 (2017)</v>
      <v>kWh (2014)</v>
      <v>2015</v>
      <v>2019</v>
      <v>2018</v>
      <v>2018</v>
      <v>2018</v>
      <v>2018</v>
      <v>2018</v>
      <v>2015</v>
      <v>2018</v>
      <v>2018</v>
      <v>2017</v>
      <v>1999</v>
      <v>2019</v>
    </spb>
  </spbData>
</supportingPropertyBags>
</file>

<file path=xl/richData/rdsupportingpropertybagstructure.xml><?xml version="1.0" encoding="utf-8"?>
<spbStructures xmlns="http://schemas.microsoft.com/office/spreadsheetml/2017/richdata2" count="26">
  <s>
    <k n="SourceText" t="s"/>
    <k n="LicenseText" t="s"/>
    <k n="SourceAddress" t="s"/>
    <k n="LicenseAddress" t="s"/>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Order" t="spba"/>
    <k n="TitleProperty" t="s"/>
    <k n="SubTitleProperty" t="s"/>
  </s>
  <s>
    <k n="ShowInCardView" t="b"/>
    <k n="ShowInDotNotation" t="b"/>
    <k n="ShowInAutoComplete" t="b"/>
  </s>
  <s>
    <k n="UniqueName" t="spb"/>
    <k n="VDPID/VSID" t="spb"/>
    <k n="LearnMoreOnLink" t="spb"/>
  </s>
  <s>
    <k n="Name" t="i"/>
    <k n="Image" t="i"/>
  </s>
  <s>
    <k n="link" t="s"/>
    <k n="logo" t="s"/>
    <k n="name" t="s"/>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_Self" t="i"/>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tertiary education enrollment (%)" t="spb"/>
    <k n="Population: Labor force participation (%)" t="spb"/>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tertiary education enrollment (%)" t="s"/>
    <k n="Population: Labor force participation (%)" t="s"/>
  </s>
  <s>
    <k n="CPI" t="spb"/>
    <k n="GDP" t="spb"/>
    <k n="Area" t="spb"/>
    <k n="Name" t="spb"/>
    <k n="Birth rate" t="spb"/>
    <k n="Population" t="spb"/>
    <k n="UniqueName" t="spb"/>
    <k n="Description" t="spb"/>
    <k n="Abbreviation" t="spb"/>
    <k n="Calling code" t="spb"/>
    <k n="Largest city"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spb"/>
    <k n="Area" t="spb"/>
    <k n="Name" t="spb"/>
    <k n="Population" t="spb"/>
    <k n="UniqueName" t="spb"/>
    <k n="Description" t="spb"/>
    <k n="Abbreviation" t="spb"/>
    <k n="Calling code" t="spb"/>
    <k n="Largest city" t="spb"/>
    <k n="Currency code" t="spb"/>
    <k n="Official name" t="spb"/>
    <k n="National anthem" t="spb"/>
    <k n="Capital/Major City" t="spb"/>
  </s>
  <s>
    <k n="GDP" t="s"/>
    <k n="Area" t="s"/>
    <k n="Population" t="s"/>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Out of pocket health expenditure (%)"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Out of pocket health expenditure (%)" t="s"/>
    <k n="Gross primary education enrollment (%)" t="s"/>
    <k n="Gross tertiary education enrollment (%)" t="s"/>
    <k n="Population: Labor force participation (%)" t="s"/>
  </s>
  <s>
    <k n="CPI" t="spb"/>
    <k n="GDP" t="spb"/>
    <k n="Area" t="spb"/>
    <k n="Name" t="spb"/>
    <k n="Birth rate" t="spb"/>
    <k n="Population" t="spb"/>
    <k n="UniqueName" t="spb"/>
    <k n="Description" t="spb"/>
    <k n="Abbreviation" t="spb"/>
    <k n="Calling code"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spb"/>
    <k n="Area" t="spb"/>
    <k n="Name" t="spb"/>
    <k n="Birth rate" t="spb"/>
    <k n="Population" t="spb"/>
    <k n="UniqueName" t="spb"/>
    <k n="Description" t="spb"/>
    <k n="Abbreviation" t="spb"/>
    <k n="Calling code" t="spb"/>
    <k n="Largest city" t="spb"/>
    <k n="Minimum wage" t="spb"/>
    <k n="Currency code" t="spb"/>
    <k n="Official name" t="spb"/>
    <k n="Gasoline price" t="spb"/>
    <k n="National anthem" t="spb"/>
    <k n="Infant mortality" t="spb"/>
    <k n="Urban population" t="spb"/>
    <k n="Capital/Major City" t="spb"/>
    <k n="Physicians per thousand" t="spb"/>
    <k n="Out of pocket health expenditure (%)" t="spb"/>
  </s>
  <s>
    <k n="GDP" t="s"/>
    <k n="Area" t="s"/>
    <k n="Birth rate" t="s"/>
    <k n="Population" t="s"/>
    <k n="Gasoline price" t="s"/>
    <k n="Infant mortality" t="s"/>
    <k n="Urban population" t="s"/>
    <k n="Physicians per thousand" t="s"/>
    <k n="Out of pocket health expenditure (%)" t="s"/>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GDP" t="spb"/>
    <k n="Area" t="spb"/>
    <k n="Name" t="spb"/>
    <k n="UniqueName" t="spb"/>
    <k n="Description" t="spb"/>
    <k n="National anthem" t="spb"/>
    <k n="Capital/Major City" t="spb"/>
  </s>
  <s>
    <k n="UniqueName" t="spb"/>
    <k n="LearnMoreOnLink" t="spb"/>
  </s>
  <s>
    <k n="GDP" t="s"/>
    <k n="Area"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14" formatCode="0.00%"/>
    </x:dxf>
    <x:dxf>
      <x:numFmt numFmtId="3" formatCode="#,##0"/>
    </x:dxf>
    <x:dxf>
      <x:numFmt numFmtId="2" formatCode="0.00"/>
    </x:dxf>
    <x:dxf>
      <x:numFmt numFmtId="1" formatCode="0"/>
    </x:dxf>
    <x:dxf>
      <x:numFmt numFmtId="4" formatCode="#,##0.00"/>
    </x:dxf>
    <x:dxf>
      <x:numFmt numFmtId="0" formatCode="General"/>
    </x:dxf>
  </dxfs>
  <richProperties>
    <rPr n="IsTitleField" t="b"/>
    <rPr n="IsHeroField" t="b"/>
    <rPr n="NumberFormat" t="s"/>
  </richProperties>
  <richStyles>
    <rSty>
      <rpv i="0">1</rpv>
    </rSty>
    <rSty>
      <rpv i="1">1</rpv>
    </rSty>
    <rSty dxfid="0">
      <rpv i="2">0.0%</rpv>
    </rSty>
    <rSty dxfid="1">
      <rpv i="2">#,##0</rpv>
    </rSty>
    <rSty dxfid="2">
      <rpv i="2">0.00</rpv>
    </rSty>
    <rSty dxfid="3">
      <rpv i="2">0</rpv>
    </rSty>
    <rSty dxfid="4">
      <rpv i="2">#,##0.00</rpv>
    </rSty>
    <rSty dxfid="5">
      <rpv i="2">0.0</rpv>
    </rSty>
    <rSty dxfid="5">
      <rpv i="2">_([$$-en-US]* #,##0.00_);_([$$-en-US]* (#,##0.00);_([$$-en-US]* "-"??_);_(@_)</rpv>
    </rSty>
    <rSty dxfid="5">
      <rpv i="2">_([$$-en-US]* #,##0_);_([$$-en-US]* (#,##0);_([$$-en-US]* "-"_);_(@_)</rpv>
    </rSty>
    <rSty dxfid="0"/>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2" dT="2022-10-29T14:47:57.29" personId="{52C825B6-1AB5-472F-8A5C-09D63D839088}" id="{4E5A3C86-5A84-4ACE-90C0-4DF91D7D7DE2}">
    <text>https://www.hydrousa.org/wp-content/uploads/2020/12/HYDROUSA-Design-of-the-UASB-and-biogas-upgrade.pdf</text>
  </threadedComment>
  <threadedComment ref="F17" dT="2022-10-29T14:47:57.29" personId="{52C825B6-1AB5-472F-8A5C-09D63D839088}" id="{60C2BEB6-E0E0-467D-829A-5ECC652AE8D2}">
    <text>https://www.hydrousa.org/wp-content/uploads/2020/12/HYDROUSA-Design-of-the-UASB-and-biogas-upgrade.pdf</text>
  </threadedComment>
  <threadedComment ref="D20" dT="2022-11-14T14:10:09.72" personId="{451C2E90-3FCA-4C30-9FCE-5938FCD7F347}" id="{89FD53D1-FA62-4834-805D-6603E813B0C5}">
    <text>https://calculator.academy/steel-tank-calculator/#f1p1|f2p0</text>
  </threadedComment>
  <threadedComment ref="D21" dT="2022-11-14T14:10:09.72" personId="{451C2E90-3FCA-4C30-9FCE-5938FCD7F347}" id="{3EBDCBB5-8A57-4BF0-B65C-E58D616692A3}">
    <text>https://calculator.academy/steel-tank-calculator/#f1p1|f2p0</text>
  </threadedComment>
</ThreadedComments>
</file>

<file path=xl/threadedComments/threadedComment2.xml><?xml version="1.0" encoding="utf-8"?>
<ThreadedComments xmlns="http://schemas.microsoft.com/office/spreadsheetml/2018/threadedcomments" xmlns:x="http://schemas.openxmlformats.org/spreadsheetml/2006/main">
  <threadedComment ref="G2" dT="2021-02-12T11:18:26.83" personId="{52C825B6-1AB5-472F-8A5C-09D63D839088}" id="{814A97A5-44E7-41E5-9DD0-54BCF971A4C3}">
    <text>MCF is the AREA WEIGHTED AVERAGE of vertical and horizontal wetland</text>
  </threadedComment>
  <threadedComment ref="B5" dT="2021-02-12T11:19:09.84" personId="{52C825B6-1AB5-472F-8A5C-09D63D839088}" id="{C32DC2A2-39FD-4149-A26A-70ED7E25F06D}">
    <text>EFJ is the AREA WEIGHTED AVERAGE of vertical and horizontal wetland</text>
  </threadedComment>
  <threadedComment ref="E27" dT="2021-02-05T12:54:24.09" personId="{52C825B6-1AB5-472F-8A5C-09D63D839088}" id="{6481A751-D9CD-41EB-9F41-9A8B98DED65E}">
    <text>g/l = kg/m3</text>
  </threadedComment>
</ThreadedComments>
</file>

<file path=xl/threadedComments/threadedComment3.xml><?xml version="1.0" encoding="utf-8"?>
<ThreadedComments xmlns="http://schemas.microsoft.com/office/spreadsheetml/2018/threadedcomments" xmlns:x="http://schemas.openxmlformats.org/spreadsheetml/2006/main">
  <threadedComment ref="M3" dT="2022-11-18T10:22:05.03" personId="{451C2E90-3FCA-4C30-9FCE-5938FCD7F347}" id="{ED1C8F29-D800-41D6-81A1-9972097FFCF6}">
    <text>This values are per day!</text>
  </threadedComment>
  <threadedComment ref="E43" dT="2022-11-18T09:53:28.81" personId="{451C2E90-3FCA-4C30-9FCE-5938FCD7F347}" id="{E4185D2F-A61E-49CD-A842-35A4A3103770}">
    <text xml:space="preserve">According to Marco could be also 16-30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proekosrl.com/shop/acido-acetico/" TargetMode="External"/><Relationship Id="rId13" Type="http://schemas.openxmlformats.org/officeDocument/2006/relationships/comments" Target="../comments3.xml"/><Relationship Id="rId3" Type="http://schemas.openxmlformats.org/officeDocument/2006/relationships/hyperlink" Target="http://www.securlab.it/acqua-deionizzata-10-litri-10934" TargetMode="External"/><Relationship Id="rId7" Type="http://schemas.openxmlformats.org/officeDocument/2006/relationships/hyperlink" Target="https://www.proekosrl.com/shop/metanolo-denaturato/" TargetMode="External"/><Relationship Id="rId12" Type="http://schemas.openxmlformats.org/officeDocument/2006/relationships/vmlDrawing" Target="../drawings/vmlDrawing3.vml"/><Relationship Id="rId2" Type="http://schemas.openxmlformats.org/officeDocument/2006/relationships/hyperlink" Target="https://reader.elsevier.com/reader/sd/pii/S1385894712012818?token=4487C6C43EC7C330D4D8B07C2327433C37FF6BDB40D19F28E57150007620B1EF0DEE133D23F0D73F84644EA6D5955C4D&amp;originRegion=eu-west-1&amp;originCreation=20221116162623" TargetMode="External"/><Relationship Id="rId1" Type="http://schemas.openxmlformats.org/officeDocument/2006/relationships/hyperlink" Target="https://www.sciencedirect.com/science/article/pii/S2213343716303335?via%3Dihub" TargetMode="External"/><Relationship Id="rId6" Type="http://schemas.openxmlformats.org/officeDocument/2006/relationships/hyperlink" Target="https://www.mpim.it/acetonitrile-per-hplc-25lt3.html" TargetMode="External"/><Relationship Id="rId11" Type="http://schemas.openxmlformats.org/officeDocument/2006/relationships/drawing" Target="../drawings/drawing10.xml"/><Relationship Id="rId5" Type="http://schemas.openxmlformats.org/officeDocument/2006/relationships/hyperlink" Target="https://www.sigmaaldrich.com/catalog/product/mm/800578?lang=en&amp;region=GB" TargetMode="External"/><Relationship Id="rId10" Type="http://schemas.openxmlformats.org/officeDocument/2006/relationships/hyperlink" Target="https://www.sigmaaldrich.com/catalog/product/aldrich/335681?lang=en&amp;region=GB" TargetMode="External"/><Relationship Id="rId4" Type="http://schemas.openxmlformats.org/officeDocument/2006/relationships/hyperlink" Target="https://www.sigmaaldrich.com/catalog/product/mm/109057?lang=en&amp;region=GB" TargetMode="External"/><Relationship Id="rId9" Type="http://schemas.openxmlformats.org/officeDocument/2006/relationships/hyperlink" Target="https://www.sigmaaldrich.com/catalog/product/aldrich/714887?lang=en&amp;region=GB" TargetMode="External"/><Relationship Id="rId14" Type="http://schemas.microsoft.com/office/2017/10/relationships/threadedComment" Target="../threadedComments/threadedComment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sciencedirect.com/science/article/pii/S004896972101326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comquima.com/en/used-stainless-steel-316l-20-000-litres-aguilar-y-salas-reactor" TargetMode="External"/><Relationship Id="rId7" Type="http://schemas.openxmlformats.org/officeDocument/2006/relationships/comments" Target="../comments1.xml"/><Relationship Id="rId2" Type="http://schemas.openxmlformats.org/officeDocument/2006/relationships/hyperlink" Target="https://www.barrplastics.com/commercial-fibreglass-wastewater-tanks.html" TargetMode="External"/><Relationship Id="rId1" Type="http://schemas.openxmlformats.org/officeDocument/2006/relationships/hyperlink" Target="https://www.ebaraeurope.com/wp-content/plugins/woocommerce-onpage/storage/cache/DataBook_Dw-Dwvox_50_O.149.pdf"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hyperlink" Target="https://comquima.com/en/used-stainless-steel-316l-20-000-litres-aguilar-y-salas-reacto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enair.net/screw_air_compressor/belt_direct-driven_air_compressor.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Desktop\Tesi\Wetlands_Supplement_Entire_Report.pdf"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9.9978637043366805E-2"/>
  </sheetPr>
  <dimension ref="A1:G24"/>
  <sheetViews>
    <sheetView tabSelected="1" workbookViewId="0"/>
  </sheetViews>
  <sheetFormatPr defaultRowHeight="14.45"/>
  <cols>
    <col min="2" max="2" width="27.5703125" customWidth="1"/>
    <col min="3" max="3" width="46.5703125" customWidth="1"/>
  </cols>
  <sheetData>
    <row r="1" spans="1:7" ht="20.100000000000001">
      <c r="A1" s="329" t="s">
        <v>0</v>
      </c>
      <c r="B1" s="328"/>
      <c r="C1" s="328"/>
      <c r="D1" s="328"/>
      <c r="E1" s="328"/>
      <c r="F1" s="328"/>
      <c r="G1" s="328"/>
    </row>
    <row r="2" spans="1:7">
      <c r="A2" s="328"/>
      <c r="B2" s="328"/>
      <c r="C2" s="328"/>
      <c r="D2" s="328"/>
      <c r="E2" s="328"/>
      <c r="F2" s="328"/>
      <c r="G2" s="328"/>
    </row>
    <row r="3" spans="1:7">
      <c r="A3" s="22" t="s">
        <v>1</v>
      </c>
      <c r="B3" s="328"/>
      <c r="C3" s="328"/>
      <c r="D3" s="328"/>
      <c r="E3" s="328"/>
      <c r="F3" s="328"/>
      <c r="G3" s="328"/>
    </row>
    <row r="4" spans="1:7">
      <c r="A4" s="354" t="s">
        <v>2</v>
      </c>
      <c r="B4" s="355" t="s">
        <v>3</v>
      </c>
      <c r="C4" s="355" t="s">
        <v>4</v>
      </c>
      <c r="D4" s="328"/>
      <c r="E4" s="328"/>
      <c r="F4" s="328"/>
      <c r="G4" s="328"/>
    </row>
    <row r="5" spans="1:7" ht="28.5">
      <c r="A5" s="331" t="s">
        <v>5</v>
      </c>
      <c r="B5" s="332" t="s">
        <v>6</v>
      </c>
      <c r="C5" s="333" t="s">
        <v>7</v>
      </c>
      <c r="D5" s="328"/>
      <c r="E5" s="328"/>
      <c r="F5" s="328"/>
      <c r="G5" s="328"/>
    </row>
    <row r="6" spans="1:7">
      <c r="A6" s="334" t="s">
        <v>8</v>
      </c>
      <c r="B6" s="335" t="s">
        <v>9</v>
      </c>
      <c r="C6" s="336" t="s">
        <v>10</v>
      </c>
      <c r="D6" s="328"/>
      <c r="E6" s="328"/>
      <c r="F6" s="328"/>
      <c r="G6" s="328"/>
    </row>
    <row r="7" spans="1:7">
      <c r="A7" s="334" t="s">
        <v>11</v>
      </c>
      <c r="B7" s="335" t="s">
        <v>12</v>
      </c>
      <c r="C7" s="336" t="s">
        <v>13</v>
      </c>
      <c r="D7" s="328"/>
      <c r="E7" s="328"/>
      <c r="F7" s="328"/>
      <c r="G7" s="328"/>
    </row>
    <row r="8" spans="1:7">
      <c r="A8" s="334" t="s">
        <v>14</v>
      </c>
      <c r="B8" s="335" t="s">
        <v>15</v>
      </c>
      <c r="C8" s="336" t="s">
        <v>16</v>
      </c>
      <c r="D8" s="328"/>
      <c r="E8" s="328"/>
      <c r="F8" s="328"/>
      <c r="G8" s="328"/>
    </row>
    <row r="9" spans="1:7">
      <c r="A9" s="337" t="s">
        <v>17</v>
      </c>
      <c r="B9" s="338" t="s">
        <v>18</v>
      </c>
      <c r="C9" s="339" t="s">
        <v>19</v>
      </c>
      <c r="D9" s="328"/>
      <c r="E9" s="328"/>
      <c r="F9" s="328"/>
      <c r="G9" s="328"/>
    </row>
    <row r="10" spans="1:7">
      <c r="A10" s="337" t="s">
        <v>20</v>
      </c>
      <c r="B10" s="340" t="s">
        <v>21</v>
      </c>
      <c r="C10" s="339" t="s">
        <v>13</v>
      </c>
      <c r="D10" s="328"/>
      <c r="E10" s="328"/>
      <c r="F10" s="328"/>
      <c r="G10" s="328"/>
    </row>
    <row r="11" spans="1:7">
      <c r="A11" s="337" t="s">
        <v>22</v>
      </c>
      <c r="B11" s="340" t="s">
        <v>23</v>
      </c>
      <c r="C11" s="339" t="s">
        <v>24</v>
      </c>
      <c r="D11" s="328"/>
      <c r="E11" s="328"/>
      <c r="F11" s="328"/>
      <c r="G11" s="328"/>
    </row>
    <row r="12" spans="1:7">
      <c r="A12" s="341" t="s">
        <v>25</v>
      </c>
      <c r="B12" s="342" t="s">
        <v>26</v>
      </c>
      <c r="C12" s="343" t="s">
        <v>27</v>
      </c>
      <c r="D12" s="328"/>
      <c r="E12" s="328"/>
      <c r="F12" s="328"/>
      <c r="G12" s="328"/>
    </row>
    <row r="13" spans="1:7">
      <c r="A13" s="341" t="s">
        <v>28</v>
      </c>
      <c r="B13" s="344" t="s">
        <v>29</v>
      </c>
      <c r="C13" s="343" t="s">
        <v>13</v>
      </c>
      <c r="D13" s="328"/>
      <c r="E13" s="328"/>
      <c r="F13" s="328"/>
      <c r="G13" s="328"/>
    </row>
    <row r="14" spans="1:7">
      <c r="A14" s="341" t="s">
        <v>30</v>
      </c>
      <c r="B14" s="344" t="s">
        <v>31</v>
      </c>
      <c r="C14" s="343" t="s">
        <v>32</v>
      </c>
      <c r="D14" s="328"/>
      <c r="E14" s="328"/>
      <c r="F14" s="328"/>
      <c r="G14" s="328"/>
    </row>
    <row r="15" spans="1:7">
      <c r="A15" s="345" t="s">
        <v>33</v>
      </c>
      <c r="B15" s="346" t="s">
        <v>34</v>
      </c>
      <c r="C15" s="347" t="s">
        <v>35</v>
      </c>
      <c r="D15" s="328"/>
      <c r="E15" s="328"/>
      <c r="F15" s="328"/>
      <c r="G15" s="328"/>
    </row>
    <row r="16" spans="1:7" ht="18.95" customHeight="1">
      <c r="A16" s="348" t="s">
        <v>36</v>
      </c>
      <c r="B16" s="349" t="s">
        <v>37</v>
      </c>
      <c r="C16" s="349" t="s">
        <v>38</v>
      </c>
      <c r="D16" s="328"/>
      <c r="E16" s="328"/>
      <c r="F16" s="328"/>
      <c r="G16" s="328"/>
    </row>
    <row r="17" spans="1:7">
      <c r="A17" s="348" t="s">
        <v>39</v>
      </c>
      <c r="B17" s="350" t="s">
        <v>40</v>
      </c>
      <c r="C17" s="349" t="s">
        <v>41</v>
      </c>
      <c r="D17" s="328"/>
      <c r="E17" s="328"/>
      <c r="F17" s="328"/>
      <c r="G17" s="328"/>
    </row>
    <row r="18" spans="1:7">
      <c r="A18" s="348" t="s">
        <v>42</v>
      </c>
      <c r="B18" s="350" t="s">
        <v>43</v>
      </c>
      <c r="C18" s="349" t="s">
        <v>44</v>
      </c>
      <c r="D18" s="328"/>
      <c r="E18" s="328"/>
      <c r="F18" s="328"/>
      <c r="G18" s="328"/>
    </row>
    <row r="19" spans="1:7">
      <c r="A19" s="348" t="s">
        <v>45</v>
      </c>
      <c r="B19" s="350" t="s">
        <v>46</v>
      </c>
      <c r="C19" s="349" t="s">
        <v>47</v>
      </c>
      <c r="D19" s="328"/>
      <c r="E19" s="328"/>
      <c r="F19" s="328"/>
      <c r="G19" s="328"/>
    </row>
    <row r="20" spans="1:7">
      <c r="A20" s="348" t="s">
        <v>48</v>
      </c>
      <c r="B20" s="350" t="s">
        <v>49</v>
      </c>
      <c r="C20" s="349" t="s">
        <v>50</v>
      </c>
    </row>
    <row r="21" spans="1:7" ht="15" customHeight="1">
      <c r="A21" s="348" t="s">
        <v>51</v>
      </c>
      <c r="B21" s="350" t="s">
        <v>52</v>
      </c>
      <c r="C21" s="349" t="s">
        <v>53</v>
      </c>
    </row>
    <row r="22" spans="1:7">
      <c r="A22" s="348" t="s">
        <v>54</v>
      </c>
      <c r="B22" s="350" t="s">
        <v>55</v>
      </c>
      <c r="C22" s="349" t="s">
        <v>56</v>
      </c>
      <c r="D22" s="328"/>
      <c r="E22" s="328"/>
      <c r="F22" s="328"/>
      <c r="G22" s="328"/>
    </row>
    <row r="23" spans="1:7">
      <c r="A23" s="351" t="s">
        <v>57</v>
      </c>
      <c r="B23" s="352" t="s">
        <v>58</v>
      </c>
      <c r="C23" s="353" t="s">
        <v>59</v>
      </c>
      <c r="D23" s="328"/>
      <c r="E23" s="328"/>
      <c r="F23" s="328"/>
      <c r="G23" s="328"/>
    </row>
    <row r="24" spans="1:7">
      <c r="D24" s="328"/>
      <c r="E24" s="328"/>
      <c r="F24" s="328"/>
      <c r="G24" s="328"/>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8A570-0DEB-4C7A-A2CB-59575EC12C90}">
  <sheetPr>
    <tabColor theme="4" tint="0.39997558519241921"/>
  </sheetPr>
  <dimension ref="A1:U41"/>
  <sheetViews>
    <sheetView topLeftCell="D1" zoomScale="89" workbookViewId="0">
      <selection activeCell="E28" sqref="E28"/>
    </sheetView>
  </sheetViews>
  <sheetFormatPr defaultColWidth="8.85546875" defaultRowHeight="14.1"/>
  <cols>
    <col min="1" max="1" width="18.42578125" style="4" customWidth="1"/>
    <col min="2" max="2" width="28.42578125" style="4" customWidth="1"/>
    <col min="3" max="4" width="14" style="4" customWidth="1"/>
    <col min="5" max="5" width="8.28515625" style="4" customWidth="1"/>
    <col min="6" max="6" width="21.7109375" style="4" customWidth="1"/>
    <col min="7" max="7" width="43.5703125" style="4" customWidth="1"/>
    <col min="8" max="8" width="8.85546875" style="4"/>
    <col min="9" max="9" width="11.5703125" style="4" bestFit="1" customWidth="1"/>
    <col min="10" max="10" width="8.85546875" style="4"/>
    <col min="11" max="11" width="11.7109375" style="4" customWidth="1"/>
    <col min="12" max="16384" width="8.85546875" style="4"/>
  </cols>
  <sheetData>
    <row r="1" spans="1:21" ht="14.45" customHeight="1">
      <c r="A1" s="8" t="s">
        <v>62</v>
      </c>
      <c r="B1" s="42">
        <f>(0.48*24)/1000</f>
        <v>1.1519999999999999E-2</v>
      </c>
      <c r="C1" s="43">
        <f>(B1*365*20)</f>
        <v>84.095999999999989</v>
      </c>
      <c r="D1" s="43"/>
    </row>
    <row r="2" spans="1:21" ht="12" customHeight="1">
      <c r="A2" s="472" t="s">
        <v>64</v>
      </c>
      <c r="B2" s="472"/>
      <c r="C2" s="472"/>
      <c r="D2" s="472"/>
      <c r="E2" s="472"/>
      <c r="F2" s="472"/>
      <c r="G2" s="472"/>
      <c r="J2" s="9"/>
      <c r="K2" s="9"/>
      <c r="L2" s="9"/>
      <c r="M2" s="9"/>
      <c r="N2" s="9"/>
      <c r="O2" s="9"/>
      <c r="P2" s="9"/>
      <c r="Q2" s="9"/>
      <c r="R2" s="9"/>
      <c r="S2" s="9"/>
      <c r="T2" s="9"/>
      <c r="U2" s="9"/>
    </row>
    <row r="3" spans="1:21">
      <c r="A3" s="7" t="s">
        <v>65</v>
      </c>
      <c r="B3" s="7" t="s">
        <v>66</v>
      </c>
      <c r="C3" s="7" t="s">
        <v>67</v>
      </c>
      <c r="D3" s="7" t="s">
        <v>154</v>
      </c>
      <c r="E3" s="7" t="s">
        <v>68</v>
      </c>
      <c r="F3" s="7" t="s">
        <v>69</v>
      </c>
      <c r="G3" s="7" t="s">
        <v>70</v>
      </c>
      <c r="J3" s="9"/>
      <c r="K3" s="9"/>
      <c r="L3" s="9"/>
      <c r="M3" s="9"/>
      <c r="N3" s="9"/>
      <c r="O3" s="9"/>
      <c r="P3" s="9"/>
      <c r="Q3" s="9"/>
      <c r="R3" s="9"/>
      <c r="S3" s="9"/>
      <c r="T3" s="9"/>
      <c r="U3" s="9"/>
    </row>
    <row r="4" spans="1:21">
      <c r="A4" s="3"/>
      <c r="B4" s="3" t="s">
        <v>428</v>
      </c>
      <c r="C4" s="6">
        <v>100</v>
      </c>
      <c r="D4" s="30">
        <f>C4/$C$1</f>
        <v>1.1891171993911722</v>
      </c>
      <c r="E4" s="3" t="s">
        <v>156</v>
      </c>
      <c r="F4" s="3" t="s">
        <v>74</v>
      </c>
      <c r="G4" s="3"/>
      <c r="J4" s="9"/>
      <c r="K4" s="9"/>
      <c r="L4" s="9"/>
      <c r="M4" s="9"/>
      <c r="N4" s="9"/>
      <c r="O4" s="9"/>
      <c r="P4" s="9"/>
      <c r="Q4" s="9"/>
      <c r="R4" s="9"/>
      <c r="S4" s="9"/>
      <c r="T4" s="9"/>
      <c r="U4" s="9"/>
    </row>
    <row r="5" spans="1:21">
      <c r="A5" s="3"/>
      <c r="B5" s="3" t="s">
        <v>430</v>
      </c>
      <c r="C5" s="3">
        <v>820</v>
      </c>
      <c r="D5" s="30">
        <f t="shared" ref="D5:D13" si="0">C5/$C$1</f>
        <v>9.7507610350076117</v>
      </c>
      <c r="E5" s="3" t="s">
        <v>156</v>
      </c>
      <c r="F5" s="3" t="s">
        <v>96</v>
      </c>
      <c r="G5" s="3" t="s">
        <v>463</v>
      </c>
      <c r="J5" s="9"/>
      <c r="K5" s="9"/>
      <c r="L5" s="9"/>
      <c r="M5" s="9"/>
      <c r="N5" s="9"/>
      <c r="O5" s="9"/>
      <c r="P5" s="9"/>
      <c r="Q5" s="9"/>
      <c r="R5" s="9"/>
      <c r="S5" s="9"/>
      <c r="T5" s="9"/>
      <c r="U5" s="9"/>
    </row>
    <row r="6" spans="1:21">
      <c r="A6" s="3"/>
      <c r="B6" s="3" t="s">
        <v>464</v>
      </c>
      <c r="C6" s="3">
        <v>1450</v>
      </c>
      <c r="D6" s="30">
        <f t="shared" si="0"/>
        <v>17.242199391171997</v>
      </c>
      <c r="E6" s="3" t="s">
        <v>156</v>
      </c>
      <c r="F6" s="3" t="s">
        <v>465</v>
      </c>
      <c r="G6" s="3"/>
      <c r="H6" s="34">
        <f>SUM(C4+C11+C13)</f>
        <v>1488.79</v>
      </c>
      <c r="I6" s="34">
        <f>H6/$C$1</f>
        <v>17.703457952815832</v>
      </c>
      <c r="J6" s="9"/>
      <c r="K6" s="9"/>
      <c r="L6" s="9"/>
      <c r="M6" s="9"/>
      <c r="N6" s="9"/>
      <c r="O6" s="9"/>
      <c r="P6" s="9"/>
      <c r="Q6" s="9"/>
      <c r="R6" s="9"/>
      <c r="S6" s="9"/>
      <c r="T6" s="9"/>
      <c r="U6" s="9"/>
    </row>
    <row r="7" spans="1:21">
      <c r="A7" s="3"/>
      <c r="B7" s="3" t="s">
        <v>466</v>
      </c>
      <c r="C7" s="3">
        <v>50</v>
      </c>
      <c r="D7" s="30">
        <f t="shared" si="0"/>
        <v>0.59455859969558611</v>
      </c>
      <c r="E7" s="3" t="s">
        <v>156</v>
      </c>
      <c r="F7" s="3" t="s">
        <v>74</v>
      </c>
      <c r="G7" s="3"/>
      <c r="H7" s="34">
        <f>C5+C10+C12</f>
        <v>940</v>
      </c>
      <c r="I7" s="34">
        <f t="shared" ref="I7:I8" si="1">H7/$C$1</f>
        <v>11.177701674277019</v>
      </c>
      <c r="J7" s="9"/>
      <c r="K7" s="9"/>
      <c r="L7" s="9"/>
      <c r="M7" s="9"/>
      <c r="N7" s="9"/>
      <c r="O7" s="9"/>
      <c r="P7" s="9"/>
      <c r="Q7" s="9"/>
      <c r="R7" s="9"/>
      <c r="S7" s="9"/>
      <c r="T7" s="9"/>
      <c r="U7" s="9"/>
    </row>
    <row r="8" spans="1:21">
      <c r="A8" s="3"/>
      <c r="B8" s="3" t="s">
        <v>467</v>
      </c>
      <c r="C8" s="3">
        <v>600</v>
      </c>
      <c r="D8" s="30">
        <f t="shared" si="0"/>
        <v>7.1347031963470329</v>
      </c>
      <c r="E8" s="3" t="s">
        <v>156</v>
      </c>
      <c r="F8" s="3" t="s">
        <v>74</v>
      </c>
      <c r="G8" s="3"/>
      <c r="H8" s="34">
        <f>C6+C7+C8+C9</f>
        <v>2475</v>
      </c>
      <c r="I8" s="34">
        <f t="shared" si="1"/>
        <v>29.430650684931511</v>
      </c>
      <c r="J8" s="9"/>
      <c r="K8" s="9"/>
      <c r="L8" s="9"/>
      <c r="M8" s="9"/>
      <c r="N8" s="9"/>
      <c r="O8" s="9"/>
      <c r="P8" s="9"/>
      <c r="Q8" s="9"/>
      <c r="R8" s="9"/>
      <c r="S8" s="9"/>
      <c r="T8" s="9"/>
      <c r="U8" s="9"/>
    </row>
    <row r="9" spans="1:21">
      <c r="A9" s="3"/>
      <c r="B9" s="3" t="s">
        <v>468</v>
      </c>
      <c r="C9" s="3">
        <v>375</v>
      </c>
      <c r="D9" s="30">
        <f t="shared" si="0"/>
        <v>4.4591894977168955</v>
      </c>
      <c r="E9" s="3" t="s">
        <v>156</v>
      </c>
      <c r="F9" s="3" t="s">
        <v>74</v>
      </c>
      <c r="G9" s="3"/>
      <c r="H9" s="34">
        <f>SUM(H6:H8)</f>
        <v>4903.79</v>
      </c>
      <c r="I9" s="34">
        <f>SUM(I6:I8)</f>
        <v>58.311810312024363</v>
      </c>
      <c r="J9" s="9"/>
      <c r="K9" s="9"/>
      <c r="L9" s="9"/>
      <c r="M9" s="9"/>
      <c r="N9" s="9"/>
      <c r="O9" s="9"/>
      <c r="P9" s="9"/>
      <c r="Q9" s="9"/>
      <c r="R9" s="9"/>
      <c r="S9" s="9"/>
      <c r="T9" s="9"/>
      <c r="U9" s="9"/>
    </row>
    <row r="10" spans="1:21">
      <c r="A10" s="3"/>
      <c r="B10" s="3" t="s">
        <v>469</v>
      </c>
      <c r="C10" s="3">
        <v>10</v>
      </c>
      <c r="D10" s="30">
        <f t="shared" si="0"/>
        <v>0.11891171993911721</v>
      </c>
      <c r="E10" s="3" t="s">
        <v>156</v>
      </c>
      <c r="F10" s="3" t="s">
        <v>74</v>
      </c>
      <c r="G10" s="3"/>
      <c r="J10" s="9"/>
      <c r="K10" s="9"/>
      <c r="L10" s="9"/>
      <c r="M10" s="9"/>
      <c r="N10" s="9"/>
      <c r="O10" s="9"/>
      <c r="P10" s="9"/>
      <c r="Q10" s="9"/>
      <c r="R10" s="9"/>
      <c r="S10" s="9"/>
      <c r="T10" s="9"/>
      <c r="U10" s="9"/>
    </row>
    <row r="11" spans="1:21">
      <c r="A11" s="3"/>
      <c r="B11" s="3" t="s">
        <v>470</v>
      </c>
      <c r="C11" s="3">
        <f>17.5*2</f>
        <v>35</v>
      </c>
      <c r="D11" s="30">
        <f t="shared" si="0"/>
        <v>0.41619101978691025</v>
      </c>
      <c r="E11" s="3" t="s">
        <v>156</v>
      </c>
      <c r="F11" s="3" t="s">
        <v>74</v>
      </c>
      <c r="G11" s="3"/>
      <c r="J11" s="9"/>
      <c r="K11" s="9"/>
      <c r="L11" s="9"/>
      <c r="M11" s="9"/>
      <c r="N11" s="9"/>
      <c r="O11" s="9"/>
      <c r="P11" s="9"/>
      <c r="Q11" s="9"/>
      <c r="R11" s="9"/>
      <c r="S11" s="9"/>
      <c r="T11" s="9"/>
      <c r="U11" s="9"/>
    </row>
    <row r="12" spans="1:21">
      <c r="A12" s="3"/>
      <c r="B12" s="3" t="s">
        <v>471</v>
      </c>
      <c r="C12" s="3">
        <f>55*2</f>
        <v>110</v>
      </c>
      <c r="D12" s="30">
        <f t="shared" si="0"/>
        <v>1.3080289193302894</v>
      </c>
      <c r="E12" s="3" t="s">
        <v>156</v>
      </c>
      <c r="F12" s="3" t="s">
        <v>74</v>
      </c>
      <c r="G12" s="3"/>
      <c r="J12" s="9"/>
      <c r="K12" s="9"/>
      <c r="L12" s="9"/>
      <c r="M12" s="9"/>
      <c r="N12" s="9"/>
      <c r="O12" s="9"/>
      <c r="P12" s="9"/>
      <c r="Q12" s="9"/>
      <c r="R12" s="9"/>
      <c r="S12" s="9"/>
      <c r="T12" s="9"/>
      <c r="U12" s="9"/>
    </row>
    <row r="13" spans="1:21">
      <c r="A13" s="3"/>
      <c r="B13" s="3" t="s">
        <v>432</v>
      </c>
      <c r="C13" s="3">
        <v>1353.79</v>
      </c>
      <c r="D13" s="30">
        <f t="shared" si="0"/>
        <v>16.098149733637747</v>
      </c>
      <c r="E13" s="3" t="s">
        <v>156</v>
      </c>
      <c r="F13" s="3" t="s">
        <v>472</v>
      </c>
      <c r="G13" s="3"/>
      <c r="J13" s="9"/>
      <c r="K13" s="9"/>
      <c r="L13" s="9"/>
      <c r="M13" s="9"/>
      <c r="N13" s="9"/>
      <c r="O13" s="9"/>
      <c r="P13" s="9"/>
      <c r="Q13" s="9"/>
      <c r="R13" s="9"/>
      <c r="S13" s="9"/>
      <c r="T13" s="9"/>
      <c r="U13" s="9"/>
    </row>
    <row r="14" spans="1:21">
      <c r="A14" s="35" t="s">
        <v>147</v>
      </c>
      <c r="B14" s="33"/>
      <c r="C14" s="35">
        <f>SUM(C4:C13)</f>
        <v>4903.79</v>
      </c>
      <c r="D14" s="38">
        <f>C14/C1</f>
        <v>58.311810312024363</v>
      </c>
      <c r="E14" s="33"/>
      <c r="F14" s="33"/>
      <c r="G14" s="33"/>
      <c r="J14" s="9"/>
      <c r="K14" s="9"/>
      <c r="L14" s="9"/>
      <c r="M14" s="9"/>
      <c r="N14" s="9"/>
      <c r="O14" s="9"/>
      <c r="P14" s="9"/>
      <c r="Q14" s="9"/>
      <c r="R14" s="9"/>
      <c r="S14" s="9"/>
      <c r="T14" s="9"/>
      <c r="U14" s="9"/>
    </row>
    <row r="15" spans="1:21">
      <c r="F15" s="44">
        <f>0.16*((C1*1000)/20)</f>
        <v>672.76799999999992</v>
      </c>
      <c r="G15" s="45" t="s">
        <v>473</v>
      </c>
      <c r="J15" s="9"/>
      <c r="K15" s="9"/>
      <c r="L15" s="9"/>
      <c r="M15" s="9"/>
      <c r="N15" s="9"/>
      <c r="O15" s="9"/>
      <c r="P15" s="9"/>
      <c r="Q15" s="9"/>
      <c r="R15" s="9"/>
      <c r="S15" s="9"/>
      <c r="T15" s="9"/>
      <c r="U15" s="9"/>
    </row>
    <row r="16" spans="1:21">
      <c r="A16" s="2"/>
      <c r="J16" s="9"/>
      <c r="K16" s="9"/>
      <c r="L16" s="9"/>
      <c r="M16" s="9"/>
      <c r="N16" s="9"/>
      <c r="O16" s="9"/>
      <c r="P16" s="9"/>
      <c r="Q16" s="9"/>
      <c r="R16" s="9"/>
      <c r="S16" s="9"/>
      <c r="T16" s="9"/>
      <c r="U16" s="9"/>
    </row>
    <row r="17" spans="1:21">
      <c r="A17" s="472" t="s">
        <v>92</v>
      </c>
      <c r="B17" s="472"/>
      <c r="C17" s="472"/>
      <c r="D17" s="472"/>
      <c r="E17" s="472"/>
      <c r="F17" s="472"/>
      <c r="G17" s="472"/>
      <c r="J17" s="9"/>
      <c r="K17" s="9"/>
      <c r="L17" s="9"/>
      <c r="M17" s="9"/>
      <c r="N17" s="9"/>
      <c r="O17" s="9"/>
      <c r="P17" s="9"/>
      <c r="Q17" s="9"/>
      <c r="R17" s="9"/>
      <c r="S17" s="9"/>
      <c r="T17" s="9"/>
      <c r="U17" s="9"/>
    </row>
    <row r="18" spans="1:21">
      <c r="A18" s="7" t="s">
        <v>93</v>
      </c>
      <c r="B18" s="7" t="s">
        <v>66</v>
      </c>
      <c r="C18" s="7" t="s">
        <v>67</v>
      </c>
      <c r="D18" s="7" t="s">
        <v>474</v>
      </c>
      <c r="E18" s="7" t="s">
        <v>68</v>
      </c>
      <c r="F18" s="7" t="s">
        <v>69</v>
      </c>
      <c r="G18" s="7" t="s">
        <v>155</v>
      </c>
      <c r="J18" s="9"/>
      <c r="K18" s="9"/>
      <c r="L18" s="9"/>
      <c r="M18" s="9"/>
      <c r="N18" s="9"/>
      <c r="O18" s="9"/>
      <c r="P18" s="9"/>
      <c r="Q18" s="9"/>
      <c r="R18" s="9"/>
      <c r="S18" s="9"/>
      <c r="T18" s="9"/>
      <c r="U18" s="9"/>
    </row>
    <row r="19" spans="1:21">
      <c r="A19" s="3" t="s">
        <v>94</v>
      </c>
      <c r="B19" s="3" t="s">
        <v>98</v>
      </c>
      <c r="C19" s="29">
        <f>((S8_MIPs_Inventory!C9*0.122)*F15)/15</f>
        <v>160.43453644799996</v>
      </c>
      <c r="D19" s="29">
        <f>(C19*20)/$C$1</f>
        <v>38.155093333333333</v>
      </c>
      <c r="E19" s="6" t="s">
        <v>170</v>
      </c>
      <c r="F19" s="3" t="s">
        <v>74</v>
      </c>
      <c r="G19" s="3" t="s">
        <v>433</v>
      </c>
      <c r="J19" s="9"/>
      <c r="K19" s="9"/>
      <c r="L19" s="9"/>
      <c r="M19" s="9"/>
      <c r="N19" s="9"/>
      <c r="O19" s="9"/>
      <c r="P19" s="9"/>
      <c r="Q19" s="9"/>
      <c r="R19" s="9"/>
      <c r="S19" s="9"/>
      <c r="T19" s="9"/>
      <c r="U19" s="9"/>
    </row>
    <row r="20" spans="1:21">
      <c r="A20" s="3" t="s">
        <v>94</v>
      </c>
      <c r="B20" s="3" t="s">
        <v>434</v>
      </c>
      <c r="C20" s="29">
        <f>(2.6136*F15)/15</f>
        <v>117.22309631999998</v>
      </c>
      <c r="D20" s="29">
        <f t="shared" ref="D20:D29" si="2">(C20*20)/$C$1</f>
        <v>27.878400000000003</v>
      </c>
      <c r="E20" s="6" t="s">
        <v>170</v>
      </c>
      <c r="F20" s="3" t="s">
        <v>74</v>
      </c>
      <c r="G20" s="3" t="s">
        <v>475</v>
      </c>
      <c r="J20" s="9"/>
      <c r="K20" s="9"/>
      <c r="L20" s="9"/>
      <c r="M20" s="9"/>
      <c r="N20" s="9"/>
      <c r="O20" s="9"/>
      <c r="P20" s="9"/>
      <c r="Q20" s="9"/>
      <c r="R20" s="9"/>
      <c r="S20" s="9"/>
      <c r="T20" s="9"/>
      <c r="U20" s="9"/>
    </row>
    <row r="21" spans="1:21">
      <c r="A21" s="3" t="s">
        <v>94</v>
      </c>
      <c r="B21" s="3" t="s">
        <v>435</v>
      </c>
      <c r="C21" s="29">
        <f>(0.0536*F15)/15</f>
        <v>2.4040243199999995</v>
      </c>
      <c r="D21" s="29">
        <f t="shared" si="2"/>
        <v>0.57173333333333332</v>
      </c>
      <c r="E21" s="6" t="s">
        <v>170</v>
      </c>
      <c r="F21" s="3" t="s">
        <v>74</v>
      </c>
      <c r="G21" s="3" t="s">
        <v>476</v>
      </c>
      <c r="J21" s="9"/>
      <c r="K21" s="9"/>
      <c r="L21" s="9"/>
      <c r="M21" s="9"/>
      <c r="N21" s="9"/>
      <c r="O21" s="9"/>
      <c r="P21" s="9"/>
      <c r="Q21" s="9"/>
      <c r="R21" s="9"/>
      <c r="S21" s="9"/>
      <c r="T21" s="9"/>
      <c r="U21" s="9"/>
    </row>
    <row r="22" spans="1:21">
      <c r="A22" s="3" t="s">
        <v>94</v>
      </c>
      <c r="B22" s="3" t="s">
        <v>437</v>
      </c>
      <c r="C22" s="29">
        <f>(0.02632724*F15)/15</f>
        <v>1.1808083066879997</v>
      </c>
      <c r="D22" s="29">
        <f t="shared" si="2"/>
        <v>0.28082389333333335</v>
      </c>
      <c r="E22" s="6" t="s">
        <v>170</v>
      </c>
      <c r="F22" s="3" t="s">
        <v>74</v>
      </c>
      <c r="G22" s="3" t="s">
        <v>475</v>
      </c>
      <c r="J22" s="9"/>
      <c r="K22" s="9"/>
      <c r="L22" s="9"/>
      <c r="M22" s="9"/>
      <c r="N22" s="9"/>
      <c r="O22" s="9"/>
      <c r="P22" s="9"/>
      <c r="Q22" s="9"/>
      <c r="R22" s="9"/>
      <c r="S22" s="9"/>
      <c r="T22" s="9"/>
      <c r="U22" s="9"/>
    </row>
    <row r="23" spans="1:21" ht="27.95">
      <c r="A23" s="3" t="s">
        <v>94</v>
      </c>
      <c r="B23" s="3" t="s">
        <v>438</v>
      </c>
      <c r="C23" s="29">
        <f>(3.14*F15)/15</f>
        <v>140.83276800000002</v>
      </c>
      <c r="D23" s="29">
        <f t="shared" si="2"/>
        <v>33.493333333333339</v>
      </c>
      <c r="E23" s="6" t="s">
        <v>170</v>
      </c>
      <c r="F23" s="3" t="s">
        <v>74</v>
      </c>
      <c r="G23" s="3"/>
      <c r="J23" s="9"/>
      <c r="K23" s="9"/>
      <c r="L23" s="9"/>
      <c r="M23" s="9"/>
      <c r="N23" s="9"/>
      <c r="O23" s="9"/>
      <c r="P23" s="9"/>
      <c r="Q23" s="9"/>
      <c r="R23" s="9"/>
      <c r="S23" s="9"/>
      <c r="T23" s="9"/>
      <c r="U23" s="9"/>
    </row>
    <row r="24" spans="1:21" ht="16.149999999999999" customHeight="1">
      <c r="A24" s="3" t="s">
        <v>94</v>
      </c>
      <c r="B24" s="3" t="s">
        <v>439</v>
      </c>
      <c r="C24" s="29">
        <f>(0.24174*F15)/15</f>
        <v>10.842329087999998</v>
      </c>
      <c r="D24" s="29">
        <f t="shared" si="2"/>
        <v>2.57856</v>
      </c>
      <c r="E24" s="6" t="s">
        <v>170</v>
      </c>
      <c r="F24" s="3" t="s">
        <v>74</v>
      </c>
      <c r="G24" s="3"/>
      <c r="J24" s="9"/>
      <c r="K24" s="9"/>
      <c r="L24" s="9"/>
      <c r="M24" s="9"/>
      <c r="N24" s="9"/>
      <c r="O24" s="9"/>
      <c r="P24" s="9"/>
      <c r="Q24" s="9"/>
      <c r="R24" s="9"/>
      <c r="S24" s="9"/>
      <c r="T24" s="9"/>
      <c r="U24" s="9"/>
    </row>
    <row r="25" spans="1:21" ht="16.149999999999999" customHeight="1">
      <c r="A25" s="3" t="s">
        <v>94</v>
      </c>
      <c r="B25" s="3" t="s">
        <v>440</v>
      </c>
      <c r="C25" s="29">
        <f>(0.68*F15)/15</f>
        <v>30.498815999999998</v>
      </c>
      <c r="D25" s="29">
        <f t="shared" si="2"/>
        <v>7.2533333333333339</v>
      </c>
      <c r="E25" s="6" t="s">
        <v>170</v>
      </c>
      <c r="F25" s="3" t="s">
        <v>74</v>
      </c>
      <c r="G25" s="3"/>
      <c r="J25" s="9"/>
      <c r="K25" s="9"/>
      <c r="L25" s="9"/>
      <c r="M25" s="9"/>
      <c r="N25" s="9"/>
      <c r="O25" s="9"/>
      <c r="P25" s="9"/>
      <c r="Q25" s="9"/>
      <c r="R25" s="9"/>
      <c r="S25" s="9"/>
      <c r="T25" s="9"/>
      <c r="U25" s="9"/>
    </row>
    <row r="26" spans="1:21">
      <c r="A26" s="3" t="s">
        <v>94</v>
      </c>
      <c r="B26" s="3" t="s">
        <v>441</v>
      </c>
      <c r="C26" s="29">
        <f>(20.41*F15)/15</f>
        <v>915.41299199999992</v>
      </c>
      <c r="D26" s="29">
        <f t="shared" si="2"/>
        <v>217.70666666666668</v>
      </c>
      <c r="E26" s="6" t="s">
        <v>170</v>
      </c>
      <c r="F26" s="3" t="s">
        <v>74</v>
      </c>
      <c r="G26" s="3"/>
      <c r="J26" s="9"/>
      <c r="K26" s="9"/>
      <c r="L26" s="9"/>
      <c r="M26" s="9"/>
      <c r="N26" s="9"/>
      <c r="O26" s="9"/>
      <c r="P26" s="9"/>
      <c r="Q26" s="9"/>
      <c r="R26" s="9"/>
      <c r="S26" s="9"/>
      <c r="T26" s="9"/>
      <c r="U26" s="9"/>
    </row>
    <row r="27" spans="1:21">
      <c r="A27" s="3" t="s">
        <v>94</v>
      </c>
      <c r="B27" s="3" t="s">
        <v>442</v>
      </c>
      <c r="C27" s="29">
        <f>(2.015*F15)/15</f>
        <v>90.375168000000002</v>
      </c>
      <c r="D27" s="29">
        <f t="shared" si="2"/>
        <v>21.493333333333339</v>
      </c>
      <c r="E27" s="6" t="s">
        <v>170</v>
      </c>
      <c r="F27" s="3" t="s">
        <v>74</v>
      </c>
      <c r="G27" s="3"/>
      <c r="J27" s="9"/>
      <c r="K27" s="9"/>
      <c r="L27" s="9"/>
      <c r="M27" s="9"/>
      <c r="N27" s="9"/>
      <c r="O27" s="9"/>
      <c r="P27" s="9"/>
      <c r="Q27" s="9"/>
      <c r="R27" s="9"/>
      <c r="S27" s="9"/>
      <c r="T27" s="9"/>
      <c r="U27" s="9"/>
    </row>
    <row r="28" spans="1:21">
      <c r="A28" s="3" t="s">
        <v>94</v>
      </c>
      <c r="B28" s="3" t="s">
        <v>477</v>
      </c>
      <c r="C28" s="29">
        <f>4.5*52</f>
        <v>234</v>
      </c>
      <c r="D28" s="29">
        <f t="shared" si="2"/>
        <v>55.650684931506859</v>
      </c>
      <c r="E28" s="6" t="s">
        <v>170</v>
      </c>
      <c r="F28" s="3" t="s">
        <v>74</v>
      </c>
      <c r="G28" s="3" t="s">
        <v>478</v>
      </c>
      <c r="J28" s="9"/>
      <c r="K28" s="9"/>
      <c r="L28" s="9"/>
      <c r="M28" s="9"/>
      <c r="N28" s="9"/>
      <c r="O28" s="9"/>
      <c r="P28" s="9"/>
      <c r="Q28" s="9"/>
      <c r="R28" s="9"/>
      <c r="S28" s="9"/>
      <c r="T28" s="9"/>
      <c r="U28" s="9"/>
    </row>
    <row r="29" spans="1:21">
      <c r="A29" s="3" t="s">
        <v>94</v>
      </c>
      <c r="B29" s="3" t="s">
        <v>443</v>
      </c>
      <c r="C29" s="29">
        <f>(624.25/4)*0.000027</f>
        <v>4.2136874999999996E-3</v>
      </c>
      <c r="D29" s="29">
        <f t="shared" si="2"/>
        <v>1.0021136558219178E-3</v>
      </c>
      <c r="E29" s="6" t="s">
        <v>170</v>
      </c>
      <c r="F29" s="3" t="s">
        <v>74</v>
      </c>
      <c r="G29" s="3" t="s">
        <v>445</v>
      </c>
      <c r="J29" s="9"/>
      <c r="K29" s="9"/>
      <c r="L29" s="9"/>
      <c r="M29" s="9"/>
      <c r="N29" s="9"/>
      <c r="O29" s="9"/>
      <c r="P29" s="9"/>
      <c r="Q29" s="9"/>
      <c r="R29" s="9"/>
      <c r="S29" s="9"/>
      <c r="T29" s="9"/>
      <c r="U29" s="9"/>
    </row>
    <row r="30" spans="1:21" ht="13.9" customHeight="1">
      <c r="A30" s="3" t="s">
        <v>446</v>
      </c>
      <c r="B30" s="3" t="s">
        <v>479</v>
      </c>
      <c r="C30" s="29">
        <f>(SUM(S8_MIPs_Inventory!C19:C22)*0.000025)*365</f>
        <v>198.70702957557222</v>
      </c>
      <c r="D30" s="29">
        <f>(C30*20)/$C$1</f>
        <v>47.257189301648651</v>
      </c>
      <c r="E30" s="6" t="s">
        <v>170</v>
      </c>
      <c r="F30" s="3" t="s">
        <v>74</v>
      </c>
      <c r="G30" s="3" t="s">
        <v>480</v>
      </c>
    </row>
    <row r="31" spans="1:21">
      <c r="A31" s="35" t="s">
        <v>147</v>
      </c>
      <c r="B31" s="33"/>
      <c r="C31" s="38">
        <f>SUM(C19:C29)</f>
        <v>1703.2087521701878</v>
      </c>
      <c r="D31" s="38">
        <f>SUM(D19:D29)</f>
        <v>405.0629642718294</v>
      </c>
      <c r="E31" s="37"/>
      <c r="F31" s="33"/>
      <c r="G31" s="33"/>
      <c r="H31" s="34">
        <f>SUM(C20:C29)</f>
        <v>1542.7742157221878</v>
      </c>
      <c r="I31" s="4">
        <f>H31*20/C1</f>
        <v>366.90787093849599</v>
      </c>
    </row>
    <row r="32" spans="1:21">
      <c r="A32" s="35" t="s">
        <v>481</v>
      </c>
      <c r="B32" s="33"/>
      <c r="C32" s="38">
        <f>C14*0.05</f>
        <v>245.18950000000001</v>
      </c>
      <c r="D32" s="36">
        <f>C32/C1</f>
        <v>2.9155905156012181</v>
      </c>
      <c r="E32" s="37"/>
      <c r="F32" s="33"/>
      <c r="G32" s="33"/>
      <c r="I32" s="34"/>
    </row>
    <row r="33" spans="1:7">
      <c r="C33" s="34"/>
      <c r="E33" s="26"/>
    </row>
    <row r="35" spans="1:7">
      <c r="A35" s="472" t="s">
        <v>115</v>
      </c>
      <c r="B35" s="472"/>
      <c r="C35" s="472"/>
      <c r="D35" s="472"/>
      <c r="E35" s="472"/>
      <c r="F35" s="472"/>
      <c r="G35" s="472"/>
    </row>
    <row r="36" spans="1:7">
      <c r="A36" s="7" t="s">
        <v>93</v>
      </c>
      <c r="B36" s="7" t="s">
        <v>66</v>
      </c>
      <c r="C36" s="7" t="s">
        <v>67</v>
      </c>
      <c r="D36" s="7"/>
      <c r="E36" s="7" t="s">
        <v>68</v>
      </c>
      <c r="F36" s="7" t="s">
        <v>69</v>
      </c>
      <c r="G36" s="7" t="s">
        <v>373</v>
      </c>
    </row>
    <row r="37" spans="1:7">
      <c r="A37" s="3" t="s">
        <v>116</v>
      </c>
      <c r="B37" s="3" t="s">
        <v>482</v>
      </c>
      <c r="C37" s="6">
        <f>200*0.055</f>
        <v>11</v>
      </c>
      <c r="D37" s="30">
        <f>C37/C1</f>
        <v>0.13080289193302894</v>
      </c>
      <c r="E37" s="3" t="s">
        <v>73</v>
      </c>
      <c r="F37" s="3" t="s">
        <v>96</v>
      </c>
      <c r="G37" s="3" t="s">
        <v>483</v>
      </c>
    </row>
    <row r="38" spans="1:7">
      <c r="A38" s="3"/>
      <c r="B38" s="3" t="s">
        <v>484</v>
      </c>
      <c r="C38" s="29">
        <f>C30*20</f>
        <v>3974.1405915114447</v>
      </c>
      <c r="D38" s="29">
        <f>C38/C1</f>
        <v>47.257189301648651</v>
      </c>
      <c r="E38" s="3"/>
      <c r="F38" s="3"/>
      <c r="G38" s="3"/>
    </row>
    <row r="39" spans="1:7">
      <c r="D39" s="34">
        <f>D37+D38</f>
        <v>47.387992193581681</v>
      </c>
    </row>
    <row r="40" spans="1:7">
      <c r="A40" s="5"/>
      <c r="B40" s="5"/>
    </row>
    <row r="41" spans="1:7">
      <c r="C41" s="34">
        <f>C14+(C31*20)+C32+C37+C38</f>
        <v>43198.295134915199</v>
      </c>
      <c r="D41" s="34">
        <f>D39+D31+D14+D32</f>
        <v>513.6783572930367</v>
      </c>
    </row>
  </sheetData>
  <mergeCells count="3">
    <mergeCell ref="A2:G2"/>
    <mergeCell ref="A17:G17"/>
    <mergeCell ref="A35:G3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55D61-46FA-4F26-B94B-7622E5B359D1}">
  <sheetPr>
    <tabColor theme="4" tint="0.39997558519241921"/>
  </sheetPr>
  <dimension ref="A1:U58"/>
  <sheetViews>
    <sheetView topLeftCell="F1" zoomScale="80" zoomScaleNormal="80" workbookViewId="0">
      <selection activeCell="L32" sqref="L32"/>
    </sheetView>
  </sheetViews>
  <sheetFormatPr defaultRowHeight="14.45"/>
  <cols>
    <col min="1" max="1" width="21.5703125" customWidth="1"/>
    <col min="2" max="3" width="22.42578125" customWidth="1"/>
    <col min="4" max="4" width="18" customWidth="1"/>
    <col min="5" max="5" width="22.85546875" customWidth="1"/>
    <col min="7" max="7" width="12" customWidth="1"/>
    <col min="8" max="8" width="24.140625" customWidth="1"/>
    <col min="9" max="9" width="24.7109375" customWidth="1"/>
    <col min="10" max="10" width="13.42578125" customWidth="1"/>
    <col min="11" max="11" width="37.85546875" customWidth="1"/>
    <col min="14" max="14" width="19.140625" customWidth="1"/>
    <col min="15" max="16" width="13.7109375" customWidth="1"/>
    <col min="17" max="17" width="10.5703125" bestFit="1" customWidth="1"/>
    <col min="18" max="18" width="16.5703125" customWidth="1"/>
    <col min="19" max="19" width="16.85546875" customWidth="1"/>
  </cols>
  <sheetData>
    <row r="1" spans="1:21" ht="15" thickBot="1"/>
    <row r="2" spans="1:21" ht="15" thickBot="1">
      <c r="A2" s="105" t="s">
        <v>485</v>
      </c>
      <c r="J2" s="106" t="s">
        <v>486</v>
      </c>
      <c r="K2" s="107"/>
      <c r="L2" s="107"/>
      <c r="M2" s="107"/>
      <c r="N2" s="107"/>
      <c r="O2" s="107"/>
      <c r="P2" s="107"/>
      <c r="Q2" s="107"/>
      <c r="R2" s="107"/>
      <c r="S2" s="107"/>
      <c r="T2" s="107"/>
      <c r="U2" s="108"/>
    </row>
    <row r="3" spans="1:21" ht="15" thickBot="1">
      <c r="J3" s="109"/>
      <c r="K3" s="110" t="s">
        <v>487</v>
      </c>
      <c r="L3" s="111" t="s">
        <v>488</v>
      </c>
      <c r="M3" s="111" t="s">
        <v>330</v>
      </c>
      <c r="N3" s="111" t="s">
        <v>202</v>
      </c>
      <c r="O3" s="111" t="s">
        <v>489</v>
      </c>
      <c r="P3" s="111" t="s">
        <v>204</v>
      </c>
      <c r="Q3" s="111" t="s">
        <v>68</v>
      </c>
      <c r="R3" s="112" t="s">
        <v>490</v>
      </c>
      <c r="S3" s="113"/>
      <c r="T3" s="113"/>
      <c r="U3" s="114"/>
    </row>
    <row r="4" spans="1:21" ht="15" thickBot="1">
      <c r="A4" s="115" t="s">
        <v>491</v>
      </c>
      <c r="E4" s="115" t="s">
        <v>330</v>
      </c>
      <c r="J4" s="109"/>
      <c r="K4" s="116" t="s">
        <v>492</v>
      </c>
      <c r="L4" s="117">
        <v>1.2729999999999999</v>
      </c>
      <c r="M4" s="118">
        <f>F6</f>
        <v>0.05</v>
      </c>
      <c r="N4" s="119" t="s">
        <v>436</v>
      </c>
      <c r="O4" s="117"/>
      <c r="P4" s="117"/>
      <c r="Q4" s="117"/>
      <c r="R4" s="120"/>
      <c r="S4" s="113"/>
      <c r="T4" s="113"/>
      <c r="U4" s="114"/>
    </row>
    <row r="5" spans="1:21" ht="15" thickBot="1">
      <c r="A5" s="121" t="s">
        <v>493</v>
      </c>
      <c r="B5" s="122" t="s">
        <v>67</v>
      </c>
      <c r="C5" s="123" t="s">
        <v>68</v>
      </c>
      <c r="E5" s="124" t="s">
        <v>493</v>
      </c>
      <c r="F5" s="125" t="s">
        <v>67</v>
      </c>
      <c r="G5" s="126" t="s">
        <v>68</v>
      </c>
      <c r="J5" s="109"/>
      <c r="K5" s="127" t="s">
        <v>494</v>
      </c>
      <c r="L5" s="128">
        <v>0.18</v>
      </c>
      <c r="M5" s="129">
        <f>(L5*S$17)/S$16</f>
        <v>5.6974213470983033E-2</v>
      </c>
      <c r="N5" s="130" t="s">
        <v>495</v>
      </c>
      <c r="O5" s="131">
        <v>14.9</v>
      </c>
      <c r="P5" s="132" t="s">
        <v>496</v>
      </c>
      <c r="Q5" s="133" t="s">
        <v>497</v>
      </c>
      <c r="R5" s="134">
        <f>O5*M5</f>
        <v>0.84891578071764717</v>
      </c>
      <c r="S5" s="113"/>
      <c r="T5" s="113"/>
      <c r="U5" s="114"/>
    </row>
    <row r="6" spans="1:21" ht="15" thickBot="1">
      <c r="A6" s="135" t="s">
        <v>498</v>
      </c>
      <c r="B6" s="136">
        <v>5</v>
      </c>
      <c r="C6" s="137" t="s">
        <v>499</v>
      </c>
      <c r="E6" s="138" t="s">
        <v>498</v>
      </c>
      <c r="F6" s="139">
        <f>50/1000</f>
        <v>0.05</v>
      </c>
      <c r="G6" s="140" t="s">
        <v>499</v>
      </c>
      <c r="H6" s="141" t="s">
        <v>500</v>
      </c>
      <c r="I6" s="142" t="s">
        <v>501</v>
      </c>
      <c r="J6" s="109"/>
      <c r="K6" s="127" t="s">
        <v>502</v>
      </c>
      <c r="L6" s="128">
        <v>4.0000000000000001E-3</v>
      </c>
      <c r="M6" s="143">
        <f t="shared" ref="M6:M12" si="0">(L6*S$17)/S$16</f>
        <v>1.2660936326885119E-3</v>
      </c>
      <c r="N6" s="130" t="s">
        <v>503</v>
      </c>
      <c r="O6" s="131">
        <v>27.75</v>
      </c>
      <c r="P6" s="132" t="s">
        <v>496</v>
      </c>
      <c r="Q6" s="133" t="s">
        <v>497</v>
      </c>
      <c r="R6" s="134">
        <f t="shared" ref="R6:R12" si="1">O6*M6</f>
        <v>3.5134098307106204E-2</v>
      </c>
      <c r="S6" s="113"/>
      <c r="T6" s="113"/>
      <c r="U6" s="114"/>
    </row>
    <row r="7" spans="1:21" ht="15" thickBot="1">
      <c r="A7" s="135" t="s">
        <v>504</v>
      </c>
      <c r="B7" s="136">
        <v>5640</v>
      </c>
      <c r="C7" s="137" t="s">
        <v>505</v>
      </c>
      <c r="E7" s="144" t="s">
        <v>506</v>
      </c>
      <c r="F7" s="145">
        <f>F6*(F11*1000)</f>
        <v>400</v>
      </c>
      <c r="G7" s="146" t="s">
        <v>507</v>
      </c>
      <c r="J7" s="109"/>
      <c r="K7" s="127" t="s">
        <v>508</v>
      </c>
      <c r="L7" s="128">
        <v>1.319</v>
      </c>
      <c r="M7" s="129">
        <f t="shared" si="0"/>
        <v>0.41749437537903678</v>
      </c>
      <c r="N7" s="130" t="s">
        <v>436</v>
      </c>
      <c r="O7" s="131">
        <v>1.8200000000000001E-2</v>
      </c>
      <c r="P7" s="132" t="s">
        <v>496</v>
      </c>
      <c r="Q7" s="133" t="s">
        <v>509</v>
      </c>
      <c r="R7" s="134">
        <f t="shared" si="1"/>
        <v>7.59839763189847E-3</v>
      </c>
      <c r="S7" s="147"/>
      <c r="T7" s="113"/>
      <c r="U7" s="114"/>
    </row>
    <row r="8" spans="1:21" ht="15" thickBot="1">
      <c r="A8" s="135" t="s">
        <v>510</v>
      </c>
      <c r="B8" s="136">
        <v>15.09</v>
      </c>
      <c r="C8" s="137" t="s">
        <v>436</v>
      </c>
      <c r="E8" s="135" t="s">
        <v>504</v>
      </c>
      <c r="F8" s="148">
        <f>(B7/60)/24</f>
        <v>3.9166666666666665</v>
      </c>
      <c r="G8" s="146" t="s">
        <v>511</v>
      </c>
      <c r="J8" s="109"/>
      <c r="K8" s="127" t="s">
        <v>512</v>
      </c>
      <c r="L8" s="128">
        <v>15.194000000000001</v>
      </c>
      <c r="M8" s="129">
        <f t="shared" si="0"/>
        <v>4.8092566637673126</v>
      </c>
      <c r="N8" s="130" t="s">
        <v>436</v>
      </c>
      <c r="O8" s="131">
        <v>0.20666666666666667</v>
      </c>
      <c r="P8" s="132" t="s">
        <v>496</v>
      </c>
      <c r="Q8" s="133" t="s">
        <v>509</v>
      </c>
      <c r="R8" s="134">
        <f t="shared" si="1"/>
        <v>0.99391304384524459</v>
      </c>
      <c r="S8" s="113"/>
      <c r="T8" s="113"/>
      <c r="U8" s="114"/>
    </row>
    <row r="9" spans="1:21" ht="15" thickBot="1">
      <c r="A9" s="135" t="s">
        <v>513</v>
      </c>
      <c r="B9" s="136">
        <v>0.45</v>
      </c>
      <c r="C9" s="137" t="s">
        <v>495</v>
      </c>
      <c r="E9" s="135" t="s">
        <v>510</v>
      </c>
      <c r="F9" s="145">
        <f>F7/F14</f>
        <v>55.834729201563377</v>
      </c>
      <c r="G9" s="146" t="s">
        <v>436</v>
      </c>
      <c r="H9" s="104" t="s">
        <v>514</v>
      </c>
      <c r="J9" s="109"/>
      <c r="K9" s="127" t="s">
        <v>515</v>
      </c>
      <c r="L9" s="128">
        <v>0.153</v>
      </c>
      <c r="M9" s="129">
        <f t="shared" si="0"/>
        <v>4.8428081450335579E-2</v>
      </c>
      <c r="N9" s="130" t="s">
        <v>436</v>
      </c>
      <c r="O9" s="131">
        <v>1.58</v>
      </c>
      <c r="P9" s="132" t="s">
        <v>496</v>
      </c>
      <c r="Q9" s="133" t="s">
        <v>509</v>
      </c>
      <c r="R9" s="134">
        <f t="shared" si="1"/>
        <v>7.6516368691530223E-2</v>
      </c>
      <c r="S9" s="149"/>
      <c r="T9" s="149"/>
      <c r="U9" s="150"/>
    </row>
    <row r="10" spans="1:21" ht="15" thickBot="1">
      <c r="A10" s="135" t="s">
        <v>516</v>
      </c>
      <c r="B10" s="136">
        <v>50.45</v>
      </c>
      <c r="C10" s="137" t="s">
        <v>495</v>
      </c>
      <c r="E10" s="144" t="s">
        <v>517</v>
      </c>
      <c r="F10" s="145">
        <f>F9*4</f>
        <v>223.33891680625351</v>
      </c>
      <c r="G10" s="146" t="s">
        <v>436</v>
      </c>
      <c r="J10" s="109"/>
      <c r="K10" s="127" t="s">
        <v>518</v>
      </c>
      <c r="L10" s="128">
        <v>0.1</v>
      </c>
      <c r="M10" s="129">
        <f t="shared" si="0"/>
        <v>3.1652340817212798E-2</v>
      </c>
      <c r="N10" s="130" t="s">
        <v>495</v>
      </c>
      <c r="O10" s="131">
        <v>6.8</v>
      </c>
      <c r="P10" s="132" t="s">
        <v>496</v>
      </c>
      <c r="Q10" s="133" t="s">
        <v>497</v>
      </c>
      <c r="R10" s="134">
        <f t="shared" si="1"/>
        <v>0.21523591755704702</v>
      </c>
      <c r="S10" s="149"/>
      <c r="T10" s="149"/>
      <c r="U10" s="150"/>
    </row>
    <row r="11" spans="1:21" ht="15" thickBot="1">
      <c r="A11" s="135" t="s">
        <v>519</v>
      </c>
      <c r="B11" s="136">
        <v>0.52</v>
      </c>
      <c r="C11" s="137" t="s">
        <v>520</v>
      </c>
      <c r="E11" s="135" t="s">
        <v>513</v>
      </c>
      <c r="F11" s="145">
        <v>8</v>
      </c>
      <c r="G11" s="146" t="s">
        <v>347</v>
      </c>
      <c r="H11" s="104" t="s">
        <v>521</v>
      </c>
      <c r="J11" s="109"/>
      <c r="K11" s="127" t="s">
        <v>449</v>
      </c>
      <c r="L11" s="128">
        <v>3.14</v>
      </c>
      <c r="M11" s="129">
        <f t="shared" si="0"/>
        <v>0.99388350166048189</v>
      </c>
      <c r="N11" s="130" t="s">
        <v>495</v>
      </c>
      <c r="O11" s="131">
        <v>6.5</v>
      </c>
      <c r="P11" s="132" t="s">
        <v>496</v>
      </c>
      <c r="Q11" s="133" t="s">
        <v>497</v>
      </c>
      <c r="R11" s="134">
        <f t="shared" si="1"/>
        <v>6.4602427607931325</v>
      </c>
      <c r="S11" s="151"/>
      <c r="T11" s="113"/>
      <c r="U11" s="152"/>
    </row>
    <row r="12" spans="1:21" ht="15" thickBot="1">
      <c r="A12" s="135" t="s">
        <v>522</v>
      </c>
      <c r="B12" s="136">
        <v>7.1639999999999997</v>
      </c>
      <c r="C12" s="137" t="s">
        <v>523</v>
      </c>
      <c r="E12" s="135" t="s">
        <v>516</v>
      </c>
      <c r="F12" s="148" t="s">
        <v>524</v>
      </c>
      <c r="G12" s="146" t="s">
        <v>524</v>
      </c>
      <c r="J12" s="109"/>
      <c r="K12" s="153" t="s">
        <v>525</v>
      </c>
      <c r="L12" s="154">
        <v>0.31</v>
      </c>
      <c r="M12" s="155">
        <f t="shared" si="0"/>
        <v>9.8122256533359667E-2</v>
      </c>
      <c r="N12" s="156" t="s">
        <v>495</v>
      </c>
      <c r="O12" s="132">
        <v>6.5</v>
      </c>
      <c r="P12" s="132" t="s">
        <v>496</v>
      </c>
      <c r="Q12" s="157" t="s">
        <v>497</v>
      </c>
      <c r="R12" s="158">
        <f t="shared" si="1"/>
        <v>0.63779466746683788</v>
      </c>
      <c r="S12" s="113"/>
      <c r="T12" s="113"/>
      <c r="U12" s="114"/>
    </row>
    <row r="13" spans="1:21" ht="15" thickBot="1">
      <c r="A13" s="159" t="s">
        <v>526</v>
      </c>
      <c r="B13" s="160">
        <v>30</v>
      </c>
      <c r="C13" s="161" t="s">
        <v>505</v>
      </c>
      <c r="E13" s="135" t="s">
        <v>519</v>
      </c>
      <c r="F13" s="145">
        <v>33</v>
      </c>
      <c r="G13" s="146" t="s">
        <v>527</v>
      </c>
      <c r="J13" s="109"/>
      <c r="K13" s="113"/>
      <c r="L13" s="113"/>
      <c r="M13" s="162"/>
      <c r="N13" s="163"/>
      <c r="O13" s="163"/>
      <c r="P13" s="163"/>
      <c r="Q13" s="163"/>
      <c r="R13" s="164">
        <f>SUM(R5:R12)</f>
        <v>9.2753510350104449</v>
      </c>
      <c r="S13" s="113"/>
      <c r="T13" s="113"/>
      <c r="U13" s="114"/>
    </row>
    <row r="14" spans="1:21">
      <c r="E14" s="135" t="s">
        <v>522</v>
      </c>
      <c r="F14" s="145">
        <f>B12</f>
        <v>7.1639999999999997</v>
      </c>
      <c r="G14" s="146" t="s">
        <v>523</v>
      </c>
      <c r="J14" s="109"/>
      <c r="K14" s="151"/>
      <c r="L14" s="113"/>
      <c r="M14" s="162"/>
      <c r="N14" s="113"/>
      <c r="O14" s="113"/>
      <c r="P14" s="113"/>
      <c r="Q14" s="113"/>
      <c r="R14" s="113"/>
      <c r="S14" s="113"/>
      <c r="T14" s="113"/>
      <c r="U14" s="114"/>
    </row>
    <row r="15" spans="1:21" ht="15" thickBot="1">
      <c r="B15" s="104"/>
      <c r="E15" s="159" t="s">
        <v>526</v>
      </c>
      <c r="F15" s="165">
        <v>30</v>
      </c>
      <c r="G15" s="161" t="s">
        <v>505</v>
      </c>
      <c r="J15" s="109"/>
      <c r="K15" s="113"/>
      <c r="L15" s="113"/>
      <c r="M15" s="162"/>
      <c r="N15" s="113"/>
      <c r="O15" s="113"/>
      <c r="P15" s="113"/>
      <c r="Q15" s="113"/>
      <c r="R15" s="113"/>
      <c r="S15" s="113"/>
      <c r="T15" s="113"/>
      <c r="U15" s="114"/>
    </row>
    <row r="16" spans="1:21" ht="15" thickBot="1">
      <c r="J16" s="109"/>
      <c r="K16" s="110" t="s">
        <v>528</v>
      </c>
      <c r="L16" s="111" t="s">
        <v>488</v>
      </c>
      <c r="M16" s="166" t="s">
        <v>529</v>
      </c>
      <c r="N16" s="111" t="s">
        <v>68</v>
      </c>
      <c r="O16" s="112"/>
      <c r="P16" s="147"/>
      <c r="Q16" s="113"/>
      <c r="R16" s="167" t="s">
        <v>530</v>
      </c>
      <c r="S16" s="117">
        <v>15</v>
      </c>
      <c r="T16" s="168" t="s">
        <v>436</v>
      </c>
      <c r="U16" s="114"/>
    </row>
    <row r="17" spans="1:21" ht="15" thickBot="1">
      <c r="A17" s="115" t="s">
        <v>531</v>
      </c>
      <c r="C17" s="169"/>
      <c r="D17" s="170" t="s">
        <v>532</v>
      </c>
      <c r="E17" s="171"/>
      <c r="J17" s="109"/>
      <c r="K17" s="172" t="s">
        <v>447</v>
      </c>
      <c r="L17" s="173">
        <f>L5</f>
        <v>0.18</v>
      </c>
      <c r="M17" s="174">
        <f>M5</f>
        <v>5.6974213470983033E-2</v>
      </c>
      <c r="N17" s="175" t="s">
        <v>495</v>
      </c>
      <c r="O17" s="176"/>
      <c r="P17" s="151"/>
      <c r="Q17" s="151"/>
      <c r="R17" s="177" t="s">
        <v>533</v>
      </c>
      <c r="S17" s="155">
        <f>D27</f>
        <v>4.7478511225819195</v>
      </c>
      <c r="T17" s="178" t="s">
        <v>108</v>
      </c>
      <c r="U17" s="114"/>
    </row>
    <row r="18" spans="1:21">
      <c r="C18" s="179" t="s">
        <v>534</v>
      </c>
      <c r="D18" s="180">
        <f>F9*4</f>
        <v>223.33891680625351</v>
      </c>
      <c r="E18" s="181" t="s">
        <v>436</v>
      </c>
      <c r="J18" s="109"/>
      <c r="K18" s="182" t="s">
        <v>442</v>
      </c>
      <c r="L18" s="183">
        <f>L12</f>
        <v>0.31</v>
      </c>
      <c r="M18" s="129">
        <f>M12</f>
        <v>9.8122256533359667E-2</v>
      </c>
      <c r="N18" s="184" t="s">
        <v>495</v>
      </c>
      <c r="O18" s="185"/>
      <c r="P18" s="151"/>
      <c r="Q18" s="151"/>
      <c r="R18" s="151"/>
      <c r="S18" s="113"/>
      <c r="T18" s="113"/>
      <c r="U18" s="114"/>
    </row>
    <row r="19" spans="1:21" ht="15" thickBot="1">
      <c r="C19" s="186" t="s">
        <v>504</v>
      </c>
      <c r="D19" s="180">
        <v>3.92</v>
      </c>
      <c r="E19" s="181" t="s">
        <v>511</v>
      </c>
      <c r="J19" s="109"/>
      <c r="K19" s="187" t="s">
        <v>449</v>
      </c>
      <c r="L19" s="188">
        <f>L11</f>
        <v>3.14</v>
      </c>
      <c r="M19" s="155">
        <f>M11</f>
        <v>0.99388350166048189</v>
      </c>
      <c r="N19" s="189" t="s">
        <v>495</v>
      </c>
      <c r="O19" s="178"/>
      <c r="P19" s="151"/>
      <c r="Q19" s="151"/>
      <c r="R19" s="151"/>
      <c r="S19" s="113"/>
      <c r="T19" s="113"/>
      <c r="U19" s="114"/>
    </row>
    <row r="20" spans="1:21">
      <c r="C20" s="190" t="s">
        <v>535</v>
      </c>
      <c r="D20" s="191">
        <f>E43</f>
        <v>12</v>
      </c>
      <c r="E20" s="192" t="s">
        <v>536</v>
      </c>
      <c r="J20" s="109"/>
      <c r="K20" s="149"/>
      <c r="L20" s="149"/>
      <c r="M20" s="149"/>
      <c r="N20" s="149"/>
      <c r="O20" s="149"/>
      <c r="P20" s="149"/>
      <c r="Q20" s="149"/>
      <c r="R20" s="149"/>
      <c r="S20" s="149"/>
      <c r="T20" s="149"/>
      <c r="U20" s="150"/>
    </row>
    <row r="21" spans="1:21" ht="15" thickBot="1">
      <c r="C21" s="193" t="s">
        <v>537</v>
      </c>
      <c r="D21" s="194">
        <f>D20*D19</f>
        <v>47.04</v>
      </c>
      <c r="E21" s="195" t="s">
        <v>538</v>
      </c>
      <c r="J21" s="196"/>
      <c r="K21" s="197"/>
      <c r="L21" s="197"/>
      <c r="M21" s="197"/>
      <c r="N21" s="197"/>
      <c r="O21" s="197"/>
      <c r="P21" s="197"/>
      <c r="Q21" s="197"/>
      <c r="R21" s="197"/>
      <c r="S21" s="197"/>
      <c r="T21" s="197"/>
      <c r="U21" s="198"/>
    </row>
    <row r="23" spans="1:21" ht="15" thickBot="1"/>
    <row r="24" spans="1:21" ht="15" thickBot="1">
      <c r="B24" s="121" t="s">
        <v>539</v>
      </c>
      <c r="C24" s="122" t="s">
        <v>488</v>
      </c>
      <c r="D24" s="122" t="s">
        <v>540</v>
      </c>
      <c r="E24" s="123" t="s">
        <v>68</v>
      </c>
      <c r="K24" s="199" t="s">
        <v>541</v>
      </c>
      <c r="L24" s="200"/>
      <c r="M24" s="200"/>
      <c r="N24" s="200"/>
      <c r="O24" s="200"/>
      <c r="P24" s="201"/>
    </row>
    <row r="25" spans="1:21">
      <c r="B25" s="135" t="s">
        <v>542</v>
      </c>
      <c r="C25" s="136">
        <v>0.5</v>
      </c>
      <c r="D25" s="145">
        <v>33.33</v>
      </c>
      <c r="E25" s="137" t="s">
        <v>543</v>
      </c>
      <c r="K25" s="202" t="s">
        <v>544</v>
      </c>
      <c r="L25" s="203" t="s">
        <v>545</v>
      </c>
      <c r="M25" s="204" t="s">
        <v>546</v>
      </c>
      <c r="N25" s="205" t="s">
        <v>547</v>
      </c>
      <c r="O25" s="205" t="s">
        <v>548</v>
      </c>
      <c r="P25" s="206" t="s">
        <v>204</v>
      </c>
    </row>
    <row r="26" spans="1:21">
      <c r="B26" s="144" t="s">
        <v>549</v>
      </c>
      <c r="C26" s="136">
        <f>C28*C25</f>
        <v>0.08</v>
      </c>
      <c r="D26" s="145">
        <f>S17/24</f>
        <v>0.19782713010757999</v>
      </c>
      <c r="E26" s="137" t="s">
        <v>550</v>
      </c>
      <c r="K26" s="207" t="s">
        <v>468</v>
      </c>
      <c r="L26" s="208">
        <v>24</v>
      </c>
      <c r="M26" s="208">
        <v>1400</v>
      </c>
      <c r="N26" s="209">
        <f>M26*L26/1000</f>
        <v>33.6</v>
      </c>
      <c r="O26" s="209" t="s">
        <v>171</v>
      </c>
      <c r="P26" s="210" t="s">
        <v>551</v>
      </c>
    </row>
    <row r="27" spans="1:21">
      <c r="B27" s="144" t="s">
        <v>552</v>
      </c>
      <c r="C27" s="136">
        <f>C26*24</f>
        <v>1.92</v>
      </c>
      <c r="D27" s="145">
        <f>D18/D21</f>
        <v>4.7478511225819195</v>
      </c>
      <c r="E27" s="137" t="s">
        <v>108</v>
      </c>
      <c r="K27" s="207" t="s">
        <v>553</v>
      </c>
      <c r="L27" s="208">
        <v>12</v>
      </c>
      <c r="M27" s="208">
        <v>1400</v>
      </c>
      <c r="N27" s="209">
        <f>M27*L27/1000</f>
        <v>16.8</v>
      </c>
      <c r="O27" s="209" t="s">
        <v>171</v>
      </c>
      <c r="P27" s="210" t="s">
        <v>554</v>
      </c>
    </row>
    <row r="28" spans="1:21" ht="15" thickBot="1">
      <c r="B28" s="211" t="s">
        <v>555</v>
      </c>
      <c r="C28" s="160">
        <v>0.16</v>
      </c>
      <c r="D28" s="160">
        <f>D27/800000</f>
        <v>5.9348139032273992E-6</v>
      </c>
      <c r="E28" s="161" t="s">
        <v>556</v>
      </c>
      <c r="K28" s="212"/>
      <c r="L28" s="213"/>
      <c r="M28" s="213"/>
      <c r="N28" s="213">
        <f>N26+N27</f>
        <v>50.400000000000006</v>
      </c>
      <c r="O28" s="213"/>
      <c r="P28" s="214"/>
    </row>
    <row r="29" spans="1:21">
      <c r="A29" s="104"/>
      <c r="K29" s="215" t="s">
        <v>232</v>
      </c>
      <c r="L29" s="213"/>
      <c r="M29" s="213"/>
      <c r="N29" s="213"/>
      <c r="O29" s="213"/>
      <c r="P29" s="214"/>
    </row>
    <row r="30" spans="1:21" ht="15" thickBot="1">
      <c r="K30" s="216" t="s">
        <v>557</v>
      </c>
      <c r="L30" s="217">
        <f>N28/S16</f>
        <v>3.3600000000000003</v>
      </c>
      <c r="M30" s="213"/>
      <c r="N30" s="213"/>
      <c r="O30" s="213"/>
      <c r="P30" s="214"/>
    </row>
    <row r="31" spans="1:21">
      <c r="C31" s="167" t="s">
        <v>539</v>
      </c>
      <c r="D31" s="218" t="s">
        <v>330</v>
      </c>
      <c r="E31" s="219" t="s">
        <v>68</v>
      </c>
      <c r="K31" s="216" t="s">
        <v>558</v>
      </c>
      <c r="L31" s="217">
        <f>L30*4.75</f>
        <v>15.96</v>
      </c>
      <c r="M31" s="213"/>
      <c r="N31" s="213"/>
      <c r="O31" s="213"/>
      <c r="P31" s="214"/>
    </row>
    <row r="32" spans="1:21">
      <c r="C32" s="220" t="s">
        <v>559</v>
      </c>
      <c r="D32" s="162">
        <v>66.7</v>
      </c>
      <c r="E32" s="152" t="s">
        <v>560</v>
      </c>
      <c r="K32" s="216" t="s">
        <v>561</v>
      </c>
      <c r="L32" s="217">
        <f>L31*365</f>
        <v>5825.4000000000005</v>
      </c>
      <c r="M32" s="213"/>
      <c r="N32" s="213"/>
      <c r="O32" s="213"/>
      <c r="P32" s="214"/>
    </row>
    <row r="33" spans="2:16" ht="15" thickBot="1">
      <c r="C33" s="221" t="s">
        <v>562</v>
      </c>
      <c r="D33" s="162">
        <f>(D32*D35)/100</f>
        <v>5.3360000000000003</v>
      </c>
      <c r="E33" s="114" t="s">
        <v>347</v>
      </c>
      <c r="K33" s="222"/>
      <c r="L33" s="223"/>
      <c r="M33" s="223"/>
      <c r="N33" s="223"/>
      <c r="O33" s="223"/>
      <c r="P33" s="224"/>
    </row>
    <row r="34" spans="2:16">
      <c r="C34" s="221" t="s">
        <v>563</v>
      </c>
      <c r="D34" s="162">
        <v>1650</v>
      </c>
      <c r="E34" s="152" t="s">
        <v>413</v>
      </c>
    </row>
    <row r="35" spans="2:16">
      <c r="C35" s="220" t="s">
        <v>564</v>
      </c>
      <c r="D35" s="162">
        <v>8</v>
      </c>
      <c r="E35" s="114" t="s">
        <v>347</v>
      </c>
    </row>
    <row r="36" spans="2:16">
      <c r="C36" s="220" t="s">
        <v>565</v>
      </c>
      <c r="D36" s="162">
        <f>D35*D34</f>
        <v>13200</v>
      </c>
      <c r="E36" s="152" t="s">
        <v>210</v>
      </c>
    </row>
    <row r="37" spans="2:16">
      <c r="C37" s="220" t="s">
        <v>566</v>
      </c>
      <c r="D37" s="162">
        <f>(D36*4)</f>
        <v>52800</v>
      </c>
      <c r="E37" s="152" t="s">
        <v>73</v>
      </c>
    </row>
    <row r="38" spans="2:16" ht="15" thickBot="1">
      <c r="C38" s="225" t="s">
        <v>567</v>
      </c>
      <c r="D38" s="226">
        <f>D37/D21</f>
        <v>1122.4489795918369</v>
      </c>
      <c r="E38" s="227" t="s">
        <v>568</v>
      </c>
    </row>
    <row r="41" spans="2:16" ht="15" thickBot="1"/>
    <row r="42" spans="2:16" ht="15" thickBot="1">
      <c r="B42" s="228" t="s">
        <v>569</v>
      </c>
      <c r="C42" s="229" t="s">
        <v>488</v>
      </c>
      <c r="D42" s="229" t="s">
        <v>68</v>
      </c>
      <c r="E42" s="229" t="s">
        <v>330</v>
      </c>
      <c r="F42" s="230" t="s">
        <v>68</v>
      </c>
    </row>
    <row r="43" spans="2:16">
      <c r="B43" s="231" t="s">
        <v>570</v>
      </c>
      <c r="C43" s="232"/>
      <c r="D43" s="233" t="s">
        <v>571</v>
      </c>
      <c r="E43" s="234">
        <v>12</v>
      </c>
      <c r="F43" s="235" t="s">
        <v>536</v>
      </c>
      <c r="G43" s="142" t="s">
        <v>572</v>
      </c>
    </row>
    <row r="44" spans="2:16">
      <c r="B44" s="231" t="s">
        <v>573</v>
      </c>
      <c r="C44" s="233">
        <v>15.09</v>
      </c>
      <c r="D44" s="234" t="s">
        <v>436</v>
      </c>
      <c r="E44" s="233">
        <v>55.83</v>
      </c>
      <c r="F44" s="236" t="s">
        <v>436</v>
      </c>
    </row>
    <row r="45" spans="2:16">
      <c r="B45" s="237" t="s">
        <v>574</v>
      </c>
      <c r="C45" s="233">
        <v>0.5</v>
      </c>
      <c r="D45" s="234" t="s">
        <v>495</v>
      </c>
      <c r="E45" s="238">
        <f>(E44*C45)/C44</f>
        <v>1.8499005964214712</v>
      </c>
      <c r="F45" s="236" t="s">
        <v>495</v>
      </c>
    </row>
    <row r="46" spans="2:16">
      <c r="B46" s="237" t="s">
        <v>575</v>
      </c>
      <c r="C46" s="233">
        <f>(C45/10)*9</f>
        <v>0.45</v>
      </c>
      <c r="D46" s="234" t="s">
        <v>495</v>
      </c>
      <c r="E46" s="238">
        <f>(E45/10)*9</f>
        <v>1.6649105367793242</v>
      </c>
      <c r="F46" s="236" t="s">
        <v>495</v>
      </c>
      <c r="G46" s="104" t="s">
        <v>576</v>
      </c>
    </row>
    <row r="47" spans="2:16" ht="15" thickBot="1">
      <c r="B47" s="239" t="s">
        <v>525</v>
      </c>
      <c r="C47" s="240">
        <f>(C45/10)*1</f>
        <v>0.05</v>
      </c>
      <c r="D47" s="241" t="s">
        <v>495</v>
      </c>
      <c r="E47" s="242">
        <f>(E45/10)*1</f>
        <v>0.18499005964214713</v>
      </c>
      <c r="F47" s="243" t="s">
        <v>495</v>
      </c>
      <c r="G47" s="104" t="s">
        <v>576</v>
      </c>
    </row>
    <row r="48" spans="2:16" ht="15" thickBot="1">
      <c r="J48" s="104"/>
    </row>
    <row r="49" spans="2:5">
      <c r="C49" s="244" t="s">
        <v>94</v>
      </c>
      <c r="D49" s="245" t="s">
        <v>577</v>
      </c>
      <c r="E49" s="246" t="s">
        <v>68</v>
      </c>
    </row>
    <row r="50" spans="2:5">
      <c r="C50" s="247" t="s">
        <v>578</v>
      </c>
      <c r="D50" s="248">
        <f>D38</f>
        <v>1122.4489795918369</v>
      </c>
      <c r="E50" s="249" t="s">
        <v>579</v>
      </c>
    </row>
    <row r="51" spans="2:5">
      <c r="C51" s="247" t="s">
        <v>575</v>
      </c>
      <c r="D51" s="248">
        <f>E46/D19</f>
        <v>0.42472207570901127</v>
      </c>
      <c r="E51" s="249" t="s">
        <v>580</v>
      </c>
    </row>
    <row r="52" spans="2:5" ht="15" thickBot="1">
      <c r="C52" s="250" t="s">
        <v>525</v>
      </c>
      <c r="D52" s="251">
        <f>E47/D19</f>
        <v>4.7191341745445696E-2</v>
      </c>
      <c r="E52" s="252" t="s">
        <v>581</v>
      </c>
    </row>
    <row r="58" spans="2:5">
      <c r="B58" s="104" t="s">
        <v>582</v>
      </c>
    </row>
  </sheetData>
  <hyperlinks>
    <hyperlink ref="I6" r:id="rId1" xr:uid="{1099C72A-6FA2-451C-88D1-D6816E313BCF}"/>
    <hyperlink ref="G43" r:id="rId2" display="but also up to 12 cycles according to this paper (sensitivity analysis parameter?) " xr:uid="{90739DB4-E778-47E8-9CC4-9BC795CFEC0E}"/>
    <hyperlink ref="K5" r:id="rId3" xr:uid="{697B36A8-0800-451E-AA57-DCA7EDE88B19}"/>
    <hyperlink ref="K6" r:id="rId4" xr:uid="{A07341A2-9D57-469A-ABB6-9EBF2A1FBA65}"/>
    <hyperlink ref="K7" r:id="rId5" xr:uid="{116106EF-4187-4DA3-BFE9-A153D7D7DE0C}"/>
    <hyperlink ref="K10" r:id="rId6" display="Acetontirle" xr:uid="{CAE2F952-4D0C-4F96-A27E-A6306AD9F79D}"/>
    <hyperlink ref="K11" r:id="rId7" xr:uid="{DCD5C9D5-DFE9-47B1-A3DF-633210D51B2F}"/>
    <hyperlink ref="K12" r:id="rId8" xr:uid="{DB9E3788-2578-43AC-9B30-C71AF141EF1D}"/>
    <hyperlink ref="K9" r:id="rId9" xr:uid="{FF96F7C4-123E-43FA-AD89-1A6654C3414C}"/>
    <hyperlink ref="K8" r:id="rId10" xr:uid="{F35A663B-5DC6-4C95-AD61-582E5CD6A85A}"/>
  </hyperlinks>
  <pageMargins left="0.7" right="0.7" top="0.75" bottom="0.75" header="0.3" footer="0.3"/>
  <drawing r:id="rId11"/>
  <legacy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991D-3AA5-4085-A4AD-1AF588D87FCD}">
  <sheetPr>
    <tabColor rgb="FFEDDCA6"/>
  </sheetPr>
  <dimension ref="A2:O39"/>
  <sheetViews>
    <sheetView zoomScale="71" workbookViewId="0">
      <selection activeCell="I37" sqref="I37"/>
    </sheetView>
  </sheetViews>
  <sheetFormatPr defaultRowHeight="14.45"/>
  <cols>
    <col min="1" max="4" width="18.28515625" style="268" customWidth="1"/>
    <col min="5" max="6" width="12.28515625" bestFit="1" customWidth="1"/>
    <col min="7" max="9" width="12.140625" bestFit="1" customWidth="1"/>
  </cols>
  <sheetData>
    <row r="2" spans="1:4" ht="12" customHeight="1">
      <c r="A2" s="274" t="s">
        <v>583</v>
      </c>
      <c r="B2" s="274" t="s">
        <v>221</v>
      </c>
      <c r="C2" s="274" t="s">
        <v>584</v>
      </c>
      <c r="D2" s="274" t="s">
        <v>585</v>
      </c>
    </row>
    <row r="3" spans="1:4" ht="12" customHeight="1">
      <c r="A3" s="272" t="s">
        <v>586</v>
      </c>
      <c r="B3" s="273">
        <v>0.19313932</v>
      </c>
      <c r="C3" s="273">
        <v>0.34213062999999999</v>
      </c>
      <c r="D3" s="273">
        <v>0.73557494999999995</v>
      </c>
    </row>
    <row r="4" spans="1:4" ht="12" customHeight="1">
      <c r="A4" s="272" t="s">
        <v>587</v>
      </c>
      <c r="B4" s="273">
        <v>0.93654948000000005</v>
      </c>
      <c r="C4" s="273">
        <v>4.2359147000000004</v>
      </c>
      <c r="D4" s="273">
        <v>7.5156125999999999</v>
      </c>
    </row>
    <row r="5" spans="1:4" ht="12" customHeight="1">
      <c r="A5" s="272" t="s">
        <v>588</v>
      </c>
      <c r="B5" s="273">
        <v>3.4262859E-2</v>
      </c>
      <c r="C5" s="273">
        <v>3.9141531E-2</v>
      </c>
      <c r="D5" s="273">
        <v>0.68468057999999998</v>
      </c>
    </row>
    <row r="6" spans="1:4" ht="12" customHeight="1">
      <c r="A6" s="272" t="s">
        <v>589</v>
      </c>
      <c r="B6" s="273">
        <v>0.28203947000000001</v>
      </c>
      <c r="C6" s="273">
        <v>0.17856658</v>
      </c>
      <c r="D6" s="273">
        <v>0.66545270999999995</v>
      </c>
    </row>
    <row r="7" spans="1:4" ht="12" customHeight="1">
      <c r="A7" s="272" t="s">
        <v>590</v>
      </c>
      <c r="B7" s="273">
        <v>4.1446450000000003E-2</v>
      </c>
      <c r="C7" s="273">
        <v>8.6391636999999993E-2</v>
      </c>
      <c r="D7" s="273">
        <v>0.22142213999999999</v>
      </c>
    </row>
    <row r="8" spans="1:4" ht="12" customHeight="1">
      <c r="A8" s="272" t="s">
        <v>591</v>
      </c>
      <c r="B8" s="273">
        <v>0.18832441</v>
      </c>
      <c r="C8" s="273">
        <v>0.38315840000000001</v>
      </c>
      <c r="D8" s="273">
        <v>1.1154776</v>
      </c>
    </row>
    <row r="9" spans="1:4" ht="12" customHeight="1">
      <c r="A9" s="272" t="s">
        <v>592</v>
      </c>
      <c r="B9" s="273">
        <v>5.8998297999999998E-2</v>
      </c>
      <c r="C9" s="273">
        <v>0.12465718000000001</v>
      </c>
      <c r="D9" s="273">
        <v>0.29914509</v>
      </c>
    </row>
    <row r="10" spans="1:4" ht="12" customHeight="1">
      <c r="A10" s="272" t="s">
        <v>593</v>
      </c>
      <c r="B10" s="273">
        <v>5.4668206999999996E-3</v>
      </c>
      <c r="C10" s="273">
        <v>1.4399766E-2</v>
      </c>
      <c r="D10" s="273">
        <v>0.18119473</v>
      </c>
    </row>
    <row r="11" spans="1:4" ht="12" customHeight="1">
      <c r="A11" s="272" t="s">
        <v>594</v>
      </c>
      <c r="B11" s="273">
        <v>2.7666370999999999E-2</v>
      </c>
      <c r="C11" s="273">
        <v>6.1756539999999999E-2</v>
      </c>
      <c r="D11" s="273">
        <v>0.15249447999999999</v>
      </c>
    </row>
    <row r="12" spans="1:4" ht="12" customHeight="1">
      <c r="A12" s="272" t="s">
        <v>595</v>
      </c>
      <c r="B12" s="273">
        <v>3.6956529000000002E-2</v>
      </c>
      <c r="C12" s="273">
        <v>0.15857611999999999</v>
      </c>
      <c r="D12" s="273">
        <v>0.21940191000000001</v>
      </c>
    </row>
    <row r="13" spans="1:4" ht="12" customHeight="1">
      <c r="A13" s="272" t="s">
        <v>596</v>
      </c>
      <c r="B13" s="273">
        <v>7.6054457000000004E-3</v>
      </c>
      <c r="C13" s="273">
        <v>2.218958E-2</v>
      </c>
      <c r="D13" s="273">
        <v>4.4201162000000002E-2</v>
      </c>
    </row>
    <row r="14" spans="1:4" ht="12" customHeight="1">
      <c r="A14" s="272" t="s">
        <v>597</v>
      </c>
      <c r="B14" s="273">
        <v>6.4648668000000004E-4</v>
      </c>
      <c r="C14" s="273">
        <v>2.8143183000000002E-3</v>
      </c>
      <c r="D14" s="273">
        <v>7.6560437999999998E-3</v>
      </c>
    </row>
    <row r="15" spans="1:4" ht="12" customHeight="1">
      <c r="A15" s="272" t="s">
        <v>598</v>
      </c>
      <c r="B15" s="273">
        <v>0.11532212999999999</v>
      </c>
      <c r="C15" s="273">
        <v>0.29886119</v>
      </c>
      <c r="D15" s="273">
        <v>0.75226400000000004</v>
      </c>
    </row>
    <row r="16" spans="1:4" ht="12" customHeight="1">
      <c r="A16" s="272" t="s">
        <v>599</v>
      </c>
      <c r="B16" s="273">
        <v>0.62386856000000002</v>
      </c>
      <c r="C16" s="273">
        <v>2.0072602000000002</v>
      </c>
      <c r="D16" s="273">
        <v>4.8090792999999996</v>
      </c>
    </row>
    <row r="17" spans="1:4" ht="12" customHeight="1">
      <c r="A17" s="272" t="s">
        <v>600</v>
      </c>
      <c r="B17" s="273">
        <v>9.6463493999999997E-2</v>
      </c>
      <c r="C17" s="273">
        <v>0.22446675999999999</v>
      </c>
      <c r="D17" s="273">
        <v>0.60016066000000001</v>
      </c>
    </row>
    <row r="18" spans="1:4" ht="12" customHeight="1">
      <c r="A18" s="272" t="s">
        <v>601</v>
      </c>
      <c r="B18" s="273">
        <v>7.1023663000000001E-2</v>
      </c>
      <c r="C18" s="273">
        <v>0.34218846000000003</v>
      </c>
      <c r="D18" s="273">
        <v>0.54941116999999995</v>
      </c>
    </row>
    <row r="19" spans="1:4" ht="12" customHeight="1">
      <c r="A19" s="272" t="s">
        <v>602</v>
      </c>
      <c r="B19" s="273">
        <v>2.7197798</v>
      </c>
      <c r="C19" s="273">
        <v>8.5224735999999996</v>
      </c>
      <c r="D19" s="273">
        <v>18.553229000000002</v>
      </c>
    </row>
    <row r="33" spans="1:15">
      <c r="A33" s="275" t="s">
        <v>603</v>
      </c>
      <c r="B33" s="275" t="s">
        <v>384</v>
      </c>
      <c r="C33" s="275" t="s">
        <v>604</v>
      </c>
      <c r="D33" s="275" t="s">
        <v>98</v>
      </c>
      <c r="E33" s="275" t="s">
        <v>605</v>
      </c>
      <c r="F33" s="275" t="s">
        <v>606</v>
      </c>
      <c r="G33" s="275" t="s">
        <v>607</v>
      </c>
      <c r="H33" s="275" t="s">
        <v>608</v>
      </c>
    </row>
    <row r="34" spans="1:15">
      <c r="A34" s="76" t="s">
        <v>221</v>
      </c>
      <c r="B34" s="76">
        <v>2.5826666999999999</v>
      </c>
      <c r="C34" s="76">
        <v>1.3708958537880001</v>
      </c>
      <c r="D34" s="76">
        <v>1.2117522999999999</v>
      </c>
      <c r="E34" s="76">
        <v>1.8473843E-5</v>
      </c>
      <c r="F34" s="76"/>
      <c r="G34" s="76"/>
      <c r="H34" s="76"/>
    </row>
    <row r="35" spans="1:15">
      <c r="A35" s="29" t="s">
        <v>560</v>
      </c>
      <c r="B35" s="29"/>
      <c r="C35" s="270">
        <f>C34/B34</f>
        <v>0.53080633818835399</v>
      </c>
      <c r="D35" s="270">
        <f>D34/B34</f>
        <v>0.46918648077973046</v>
      </c>
      <c r="E35" s="270">
        <f>E34/B34</f>
        <v>7.1530108782523123E-6</v>
      </c>
      <c r="F35" s="76"/>
      <c r="G35" s="76"/>
      <c r="H35" s="76"/>
    </row>
    <row r="36" spans="1:15">
      <c r="A36" s="29" t="s">
        <v>584</v>
      </c>
      <c r="B36" s="271">
        <v>8.5004255000000004</v>
      </c>
      <c r="C36" s="29"/>
      <c r="D36" s="271">
        <v>6.8529232000000002</v>
      </c>
      <c r="E36" s="76"/>
      <c r="F36" s="271">
        <v>1.6475023</v>
      </c>
      <c r="G36" s="76"/>
      <c r="H36" s="76"/>
    </row>
    <row r="37" spans="1:15">
      <c r="A37" s="29" t="s">
        <v>560</v>
      </c>
      <c r="B37" s="29"/>
      <c r="C37" s="29"/>
      <c r="D37" s="29">
        <f>D36/B36</f>
        <v>0.80618590210572394</v>
      </c>
      <c r="E37" s="76"/>
      <c r="F37" s="76">
        <f>F36/B36</f>
        <v>0.19381409789427598</v>
      </c>
      <c r="G37" s="76"/>
      <c r="H37" s="76"/>
      <c r="K37" s="269"/>
      <c r="L37" s="269"/>
      <c r="M37" s="269"/>
      <c r="N37" s="269"/>
      <c r="O37" s="269"/>
    </row>
    <row r="38" spans="1:15">
      <c r="A38" s="29" t="s">
        <v>585</v>
      </c>
      <c r="B38" s="271">
        <v>18.458075999999998</v>
      </c>
      <c r="C38" s="29"/>
      <c r="D38" s="271">
        <v>8.8998853999999993E-5</v>
      </c>
      <c r="E38" s="76"/>
      <c r="F38" s="76"/>
      <c r="G38" s="76">
        <v>16.5618731</v>
      </c>
      <c r="H38" s="271">
        <v>1.8961131</v>
      </c>
      <c r="J38" s="269"/>
      <c r="M38" s="269"/>
      <c r="N38" s="269"/>
    </row>
    <row r="39" spans="1:15">
      <c r="A39" s="29" t="s">
        <v>560</v>
      </c>
      <c r="B39" s="29"/>
      <c r="C39" s="29"/>
      <c r="D39" s="29">
        <f>D38/B38</f>
        <v>4.821675563585284E-6</v>
      </c>
      <c r="E39" s="76"/>
      <c r="F39" s="76"/>
      <c r="G39" s="76">
        <f>G38/B38</f>
        <v>0.89726974252354363</v>
      </c>
      <c r="H39" s="76">
        <f>H38/B38</f>
        <v>0.10272539239734413</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74794-33A2-4B64-B3EF-AC82F21D170D}">
  <sheetPr>
    <tabColor rgb="FFC99B38"/>
  </sheetPr>
  <dimension ref="A1:G7"/>
  <sheetViews>
    <sheetView workbookViewId="0">
      <selection activeCell="E28" sqref="E28"/>
    </sheetView>
  </sheetViews>
  <sheetFormatPr defaultColWidth="8.85546875" defaultRowHeight="14.1"/>
  <cols>
    <col min="1" max="1" width="19.28515625" style="10" customWidth="1"/>
    <col min="2" max="2" width="20.7109375" style="2" customWidth="1"/>
    <col min="3" max="3" width="19.7109375" style="2" customWidth="1"/>
    <col min="4" max="4" width="13.85546875" style="10" customWidth="1"/>
    <col min="5" max="5" width="29.28515625" style="10" customWidth="1"/>
    <col min="6" max="6" width="14.28515625" style="10" customWidth="1"/>
    <col min="7" max="7" width="25.7109375" style="10" customWidth="1"/>
    <col min="8" max="16384" width="8.85546875" style="10"/>
  </cols>
  <sheetData>
    <row r="1" spans="1:7">
      <c r="A1" s="253" t="s">
        <v>609</v>
      </c>
      <c r="B1" s="257" t="s">
        <v>610</v>
      </c>
      <c r="C1" s="257" t="s">
        <v>611</v>
      </c>
      <c r="D1" s="253" t="s">
        <v>612</v>
      </c>
      <c r="E1" s="253" t="s">
        <v>613</v>
      </c>
      <c r="F1" s="253" t="s">
        <v>614</v>
      </c>
      <c r="G1" s="253" t="s">
        <v>615</v>
      </c>
    </row>
    <row r="2" spans="1:7">
      <c r="A2" s="11" t="s">
        <v>616</v>
      </c>
      <c r="B2" s="12">
        <v>26159</v>
      </c>
      <c r="C2" s="12">
        <v>18777375</v>
      </c>
      <c r="D2" s="13">
        <f t="shared" ref="D2:D4" si="0">(C2/B2)/10</f>
        <v>71.781700370809276</v>
      </c>
      <c r="E2" s="12">
        <v>1800</v>
      </c>
      <c r="F2" s="330">
        <f>G2/E2</f>
        <v>80</v>
      </c>
      <c r="G2" s="11">
        <f>800*30*6</f>
        <v>144000</v>
      </c>
    </row>
    <row r="3" spans="1:7" hidden="1">
      <c r="A3" s="11" t="s">
        <v>617</v>
      </c>
      <c r="B3" s="12">
        <v>21243</v>
      </c>
      <c r="C3" s="12">
        <v>1294925</v>
      </c>
      <c r="D3" s="13">
        <f t="shared" si="0"/>
        <v>6.095772725132985</v>
      </c>
      <c r="E3" s="12"/>
      <c r="F3" s="330" t="e">
        <f t="shared" ref="F3:F4" si="1">G3/E3</f>
        <v>#DIV/0!</v>
      </c>
      <c r="G3" s="11">
        <f>800*30*6</f>
        <v>144000</v>
      </c>
    </row>
    <row r="4" spans="1:7" hidden="1">
      <c r="A4" s="11" t="s">
        <v>618</v>
      </c>
      <c r="B4" s="12">
        <v>18267</v>
      </c>
      <c r="C4" s="12">
        <v>537103</v>
      </c>
      <c r="D4" s="13">
        <f t="shared" si="0"/>
        <v>2.940291235561395</v>
      </c>
      <c r="E4" s="12"/>
      <c r="F4" s="330" t="e">
        <f t="shared" si="1"/>
        <v>#DIV/0!</v>
      </c>
      <c r="G4" s="11">
        <f t="shared" ref="G4" si="2">800*30*6</f>
        <v>144000</v>
      </c>
    </row>
    <row r="5" spans="1:7" hidden="1">
      <c r="A5" s="254" t="s">
        <v>619</v>
      </c>
      <c r="B5" s="255">
        <v>13086</v>
      </c>
      <c r="C5" s="255">
        <v>7457182</v>
      </c>
      <c r="D5" s="256">
        <f t="shared" ref="D5" si="3">C5/B5</f>
        <v>569.85954455142905</v>
      </c>
      <c r="E5" s="10">
        <v>1800</v>
      </c>
      <c r="G5" s="11"/>
    </row>
    <row r="6" spans="1:7">
      <c r="B6" s="10"/>
      <c r="C6" s="10"/>
      <c r="G6" s="11">
        <f>800*30*12</f>
        <v>288000</v>
      </c>
    </row>
    <row r="7" spans="1:7">
      <c r="B7" s="10"/>
      <c r="C7" s="10"/>
      <c r="F7" s="49"/>
      <c r="G7" s="11">
        <f>25.07*71.78*80</f>
        <v>143961.96799999999</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D6A32-6167-4FDC-9C7B-DEFBFB076F2C}">
  <sheetPr>
    <tabColor rgb="FFC99B38"/>
  </sheetPr>
  <dimension ref="A1:G10"/>
  <sheetViews>
    <sheetView workbookViewId="0">
      <selection activeCell="F25" sqref="F25"/>
    </sheetView>
  </sheetViews>
  <sheetFormatPr defaultColWidth="8.85546875" defaultRowHeight="14.1"/>
  <cols>
    <col min="1" max="1" width="25.7109375" style="49" customWidth="1"/>
    <col min="2" max="2" width="10.5703125" style="49" bestFit="1" customWidth="1"/>
    <col min="3" max="3" width="18.42578125" style="49" customWidth="1"/>
    <col min="4" max="5" width="8.85546875" style="49"/>
    <col min="6" max="6" width="15.5703125" style="49" customWidth="1"/>
    <col min="7" max="7" width="22.140625" style="49" customWidth="1"/>
    <col min="8" max="16384" width="8.85546875" style="49"/>
  </cols>
  <sheetData>
    <row r="1" spans="1:7" ht="20.100000000000001">
      <c r="A1" s="321" t="s">
        <v>620</v>
      </c>
      <c r="E1" s="321" t="s">
        <v>621</v>
      </c>
    </row>
    <row r="2" spans="1:7">
      <c r="A2" s="322" t="s">
        <v>622</v>
      </c>
      <c r="E2" s="322" t="s">
        <v>623</v>
      </c>
    </row>
    <row r="3" spans="1:7">
      <c r="A3" s="473" t="s">
        <v>624</v>
      </c>
      <c r="B3" s="474"/>
      <c r="C3" s="475"/>
      <c r="E3" s="473" t="s">
        <v>624</v>
      </c>
      <c r="F3" s="474"/>
      <c r="G3" s="475"/>
    </row>
    <row r="4" spans="1:7">
      <c r="A4" s="319" t="s">
        <v>622</v>
      </c>
      <c r="B4" s="13">
        <f>25.07*71.78*80*20</f>
        <v>2879239.36</v>
      </c>
      <c r="C4" s="320"/>
      <c r="E4" s="319" t="s">
        <v>625</v>
      </c>
      <c r="F4" s="13">
        <v>0</v>
      </c>
      <c r="G4" s="320"/>
    </row>
    <row r="5" spans="1:7">
      <c r="A5" s="319" t="s">
        <v>626</v>
      </c>
      <c r="B5" s="13">
        <v>0.9</v>
      </c>
      <c r="C5" s="320" t="s">
        <v>627</v>
      </c>
      <c r="E5" s="319" t="s">
        <v>626</v>
      </c>
      <c r="F5" s="13">
        <v>0.9</v>
      </c>
      <c r="G5" s="320" t="s">
        <v>627</v>
      </c>
    </row>
    <row r="6" spans="1:7">
      <c r="A6" s="319" t="s">
        <v>628</v>
      </c>
      <c r="B6" s="13">
        <f>B4*B5</f>
        <v>2591315.4240000001</v>
      </c>
      <c r="C6" s="320" t="s">
        <v>629</v>
      </c>
      <c r="E6" s="319" t="s">
        <v>628</v>
      </c>
      <c r="F6" s="13">
        <f>B5*B4</f>
        <v>2591315.4240000001</v>
      </c>
      <c r="G6" s="320" t="s">
        <v>629</v>
      </c>
    </row>
    <row r="7" spans="1:7">
      <c r="A7" s="473" t="s">
        <v>101</v>
      </c>
      <c r="B7" s="474"/>
      <c r="C7" s="475"/>
      <c r="E7" s="473" t="s">
        <v>101</v>
      </c>
      <c r="F7" s="474"/>
      <c r="G7" s="475"/>
    </row>
    <row r="8" spans="1:7">
      <c r="A8" s="319" t="s">
        <v>630</v>
      </c>
      <c r="B8" s="13">
        <f>B6</f>
        <v>2591315.4240000001</v>
      </c>
      <c r="C8" s="320"/>
      <c r="E8" s="319" t="s">
        <v>630</v>
      </c>
      <c r="F8" s="13">
        <f>F6</f>
        <v>2591315.4240000001</v>
      </c>
      <c r="G8" s="320"/>
    </row>
    <row r="9" spans="1:7">
      <c r="A9" s="319" t="s">
        <v>631</v>
      </c>
      <c r="B9" s="13">
        <f>0.8*((B6/B5)-B6)</f>
        <v>230339.14879999982</v>
      </c>
      <c r="C9" s="320">
        <v>0.8</v>
      </c>
      <c r="E9" s="319" t="s">
        <v>631</v>
      </c>
      <c r="F9" s="13">
        <f>0.8*((F6/F5)-F6)</f>
        <v>230339.14879999982</v>
      </c>
      <c r="G9" s="320">
        <v>0.8</v>
      </c>
    </row>
    <row r="10" spans="1:7">
      <c r="A10" s="319" t="s">
        <v>632</v>
      </c>
      <c r="B10" s="13">
        <f>0.2*((B6/B5)-B6)</f>
        <v>57584.787199999955</v>
      </c>
      <c r="C10" s="320">
        <v>0.2</v>
      </c>
      <c r="E10" s="319" t="s">
        <v>632</v>
      </c>
      <c r="F10" s="13">
        <f>0.2*((F6/F5)-F6)</f>
        <v>57584.787199999955</v>
      </c>
      <c r="G10" s="320">
        <v>0.2</v>
      </c>
    </row>
  </sheetData>
  <mergeCells count="4">
    <mergeCell ref="A3:C3"/>
    <mergeCell ref="A7:C7"/>
    <mergeCell ref="E3:G3"/>
    <mergeCell ref="E7:G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3DB75-E4EC-4D36-8EA8-F0EFECBC03DC}">
  <sheetPr>
    <tabColor rgb="FFC99B38"/>
  </sheetPr>
  <dimension ref="A1:V62"/>
  <sheetViews>
    <sheetView topLeftCell="L14" zoomScale="63" zoomScaleNormal="70" workbookViewId="0">
      <selection activeCell="N21" sqref="N21"/>
    </sheetView>
  </sheetViews>
  <sheetFormatPr defaultColWidth="8.85546875" defaultRowHeight="14.1"/>
  <cols>
    <col min="1" max="1" width="21.28515625" style="278" customWidth="1"/>
    <col min="2" max="2" width="8.85546875" style="278"/>
    <col min="3" max="3" width="16" style="278" customWidth="1"/>
    <col min="4" max="4" width="13" style="278" customWidth="1"/>
    <col min="5" max="5" width="11.5703125" style="278" bestFit="1" customWidth="1"/>
    <col min="6" max="6" width="11.85546875" style="278" customWidth="1"/>
    <col min="7" max="7" width="8.85546875" style="278"/>
    <col min="8" max="8" width="24.140625" style="278" customWidth="1"/>
    <col min="9" max="9" width="16.42578125" style="278" customWidth="1"/>
    <col min="10" max="10" width="18.7109375" style="278" customWidth="1"/>
    <col min="11" max="14" width="14.42578125" style="278" customWidth="1"/>
    <col min="15" max="15" width="14.5703125" style="278" customWidth="1"/>
    <col min="16" max="16384" width="8.85546875" style="278"/>
  </cols>
  <sheetData>
    <row r="1" spans="1:22" ht="42">
      <c r="A1" s="276" t="s">
        <v>633</v>
      </c>
      <c r="B1" s="276" t="s">
        <v>202</v>
      </c>
      <c r="C1" s="276" t="s">
        <v>384</v>
      </c>
      <c r="D1" s="277" t="s">
        <v>634</v>
      </c>
      <c r="E1" s="277" t="s">
        <v>635</v>
      </c>
      <c r="F1" s="265" t="s">
        <v>636</v>
      </c>
      <c r="H1" s="279" t="s">
        <v>603</v>
      </c>
      <c r="I1" s="279" t="s">
        <v>637</v>
      </c>
      <c r="J1" s="279" t="s">
        <v>638</v>
      </c>
      <c r="K1" s="279" t="s">
        <v>639</v>
      </c>
      <c r="L1" s="279" t="s">
        <v>640</v>
      </c>
      <c r="M1" s="279" t="s">
        <v>641</v>
      </c>
      <c r="N1" s="279" t="s">
        <v>147</v>
      </c>
      <c r="O1" s="279" t="s">
        <v>642</v>
      </c>
      <c r="P1" s="279" t="s">
        <v>643</v>
      </c>
    </row>
    <row r="2" spans="1:22">
      <c r="A2" s="280" t="s">
        <v>586</v>
      </c>
      <c r="B2" s="280" t="s">
        <v>644</v>
      </c>
      <c r="C2" s="280">
        <f>SUM(D2:F2)</f>
        <v>1.0982000000000001E-3</v>
      </c>
      <c r="D2" s="280">
        <v>9.6100000000000005E-4</v>
      </c>
      <c r="E2" s="280">
        <v>1.06E-4</v>
      </c>
      <c r="F2" s="262">
        <v>3.1199999999999999E-5</v>
      </c>
      <c r="H2" s="282" t="s">
        <v>645</v>
      </c>
      <c r="I2" s="286" t="s">
        <v>646</v>
      </c>
      <c r="J2" s="282">
        <f>D2</f>
        <v>9.6100000000000005E-4</v>
      </c>
      <c r="K2" s="282">
        <f>E2</f>
        <v>1.06E-4</v>
      </c>
      <c r="L2" s="282">
        <f>F2</f>
        <v>3.1199999999999999E-5</v>
      </c>
      <c r="M2" s="282">
        <v>0</v>
      </c>
      <c r="N2" s="282">
        <f>SUM(J2:M2)</f>
        <v>1.0982000000000001E-3</v>
      </c>
      <c r="O2" s="282">
        <v>6.9699999999999996E-3</v>
      </c>
      <c r="P2" s="318">
        <f>IF(C2=N2,1,0)</f>
        <v>1</v>
      </c>
      <c r="Q2" s="317"/>
      <c r="R2" s="281"/>
      <c r="S2" s="281"/>
      <c r="T2" s="281"/>
      <c r="U2" s="281"/>
      <c r="V2" s="281"/>
    </row>
    <row r="3" spans="1:22">
      <c r="A3" s="280" t="s">
        <v>587</v>
      </c>
      <c r="B3" s="280" t="s">
        <v>647</v>
      </c>
      <c r="C3" s="280">
        <f t="shared" ref="C3:C17" si="0">SUM(D3:F3)</f>
        <v>0.12657399999999999</v>
      </c>
      <c r="D3" s="280">
        <v>9.4632999999999995E-2</v>
      </c>
      <c r="E3" s="280">
        <v>2.6190999999999999E-2</v>
      </c>
      <c r="F3" s="262">
        <v>5.7499999999999999E-3</v>
      </c>
      <c r="H3" s="283" t="s">
        <v>645</v>
      </c>
      <c r="I3" s="283" t="s">
        <v>648</v>
      </c>
      <c r="J3" s="283">
        <f>D21</f>
        <v>7.2599999999999997E-4</v>
      </c>
      <c r="K3" s="283">
        <f>E21</f>
        <v>1.43E-5</v>
      </c>
      <c r="L3" s="282">
        <v>0</v>
      </c>
      <c r="M3" s="282">
        <f>F21</f>
        <v>1.9000000000000001E-5</v>
      </c>
      <c r="N3" s="282">
        <f t="shared" ref="N3:N25" si="1">SUM(J3:M3)</f>
        <v>7.5929999999999997E-4</v>
      </c>
      <c r="O3" s="282">
        <v>6.9699999999999996E-3</v>
      </c>
      <c r="P3" s="318">
        <f>IF(C21=N3,1,0)</f>
        <v>1</v>
      </c>
      <c r="Q3" s="281"/>
      <c r="R3" s="281"/>
      <c r="S3" s="281"/>
      <c r="T3" s="281"/>
      <c r="U3" s="281"/>
      <c r="V3" s="281"/>
    </row>
    <row r="4" spans="1:22">
      <c r="A4" s="280" t="s">
        <v>588</v>
      </c>
      <c r="B4" s="280" t="s">
        <v>649</v>
      </c>
      <c r="C4" s="280">
        <f t="shared" si="0"/>
        <v>17.909228999999996</v>
      </c>
      <c r="D4" s="280">
        <v>13.02375</v>
      </c>
      <c r="E4" s="280">
        <v>4.8519600000000001</v>
      </c>
      <c r="F4" s="262">
        <v>3.3519E-2</v>
      </c>
      <c r="H4" s="283" t="s">
        <v>645</v>
      </c>
      <c r="I4" s="283" t="s">
        <v>650</v>
      </c>
      <c r="J4" s="283">
        <f>D40</f>
        <v>7.2599999999999997E-4</v>
      </c>
      <c r="K4" s="283">
        <f>E40</f>
        <v>1.43E-5</v>
      </c>
      <c r="L4" s="282">
        <v>0</v>
      </c>
      <c r="M4" s="282">
        <f>F40</f>
        <v>1.3016146999999999E-5</v>
      </c>
      <c r="N4" s="282">
        <f t="shared" si="1"/>
        <v>7.5331614699999992E-4</v>
      </c>
      <c r="O4" s="282">
        <v>6.9699999999999996E-3</v>
      </c>
      <c r="P4" s="318">
        <f>IF(C40=N4,1,0)</f>
        <v>1</v>
      </c>
      <c r="Q4" s="281"/>
      <c r="R4" s="281"/>
      <c r="S4" s="281"/>
      <c r="T4" s="281"/>
      <c r="U4" s="281"/>
      <c r="V4" s="281"/>
    </row>
    <row r="5" spans="1:22">
      <c r="A5" s="280" t="s">
        <v>589</v>
      </c>
      <c r="B5" s="280" t="s">
        <v>651</v>
      </c>
      <c r="C5" s="280">
        <f t="shared" si="0"/>
        <v>8.3159999999999998E-9</v>
      </c>
      <c r="D5" s="280">
        <v>6.4499999999999999E-9</v>
      </c>
      <c r="E5" s="280">
        <v>1.4599999999999999E-9</v>
      </c>
      <c r="F5" s="262">
        <v>4.0599999999999999E-10</v>
      </c>
      <c r="H5" s="283" t="s">
        <v>652</v>
      </c>
      <c r="I5" s="286" t="s">
        <v>646</v>
      </c>
      <c r="J5" s="283">
        <f>D3</f>
        <v>9.4632999999999995E-2</v>
      </c>
      <c r="K5" s="283">
        <f>E3</f>
        <v>2.6190999999999999E-2</v>
      </c>
      <c r="L5" s="282">
        <f>F3</f>
        <v>5.7499999999999999E-3</v>
      </c>
      <c r="M5" s="282">
        <v>0</v>
      </c>
      <c r="N5" s="282">
        <f t="shared" si="1"/>
        <v>0.12657399999999999</v>
      </c>
      <c r="O5" s="282">
        <v>4.7399999999999998E-2</v>
      </c>
      <c r="P5" s="318">
        <f>IF(C3=N5,1,0)</f>
        <v>1</v>
      </c>
      <c r="Q5" s="281"/>
      <c r="R5" s="281"/>
      <c r="S5" s="281"/>
      <c r="T5" s="281"/>
      <c r="U5" s="281"/>
      <c r="V5" s="281"/>
    </row>
    <row r="6" spans="1:22">
      <c r="A6" s="280" t="s">
        <v>590</v>
      </c>
      <c r="B6" s="280" t="s">
        <v>653</v>
      </c>
      <c r="C6" s="280">
        <f t="shared" si="0"/>
        <v>2.1565600000000001E-3</v>
      </c>
      <c r="D6" s="280">
        <v>9.3499999999999996E-4</v>
      </c>
      <c r="E6" s="280">
        <v>1.2160000000000001E-3</v>
      </c>
      <c r="F6" s="262">
        <v>5.5600000000000001E-6</v>
      </c>
      <c r="H6" s="283" t="s">
        <v>652</v>
      </c>
      <c r="I6" s="283" t="s">
        <v>648</v>
      </c>
      <c r="J6" s="283">
        <f>D22</f>
        <v>8.1046999999999994E-2</v>
      </c>
      <c r="K6" s="283">
        <f>E22</f>
        <v>6.7010000000000004E-3</v>
      </c>
      <c r="L6" s="282">
        <v>0</v>
      </c>
      <c r="M6" s="282">
        <f>F22</f>
        <v>8.0599999999999995E-3</v>
      </c>
      <c r="N6" s="282">
        <f t="shared" si="1"/>
        <v>9.580799999999999E-2</v>
      </c>
      <c r="O6" s="282">
        <v>4.7399999999999998E-2</v>
      </c>
      <c r="P6" s="318">
        <f>IF(C22=N6,1,0)</f>
        <v>1</v>
      </c>
      <c r="Q6" s="281"/>
      <c r="R6" s="281"/>
      <c r="S6" s="281"/>
      <c r="T6" s="281"/>
      <c r="U6" s="281"/>
      <c r="V6" s="281"/>
    </row>
    <row r="7" spans="1:22">
      <c r="A7" s="280" t="s">
        <v>591</v>
      </c>
      <c r="B7" s="280" t="s">
        <v>654</v>
      </c>
      <c r="C7" s="280">
        <f t="shared" si="0"/>
        <v>8.6949999999999986E-5</v>
      </c>
      <c r="D7" s="280">
        <v>1.9300000000000002E-5</v>
      </c>
      <c r="E7" s="280">
        <v>6.4999999999999994E-5</v>
      </c>
      <c r="F7" s="262">
        <v>2.65E-6</v>
      </c>
      <c r="H7" s="283" t="s">
        <v>652</v>
      </c>
      <c r="I7" s="283" t="s">
        <v>650</v>
      </c>
      <c r="J7" s="282">
        <f>D41</f>
        <v>8.1046999999999994E-2</v>
      </c>
      <c r="K7" s="282">
        <f>E41</f>
        <v>6.7010000000000004E-3</v>
      </c>
      <c r="L7" s="282">
        <v>0</v>
      </c>
      <c r="M7" s="282">
        <f>F41</f>
        <v>6.2862224000000003E-3</v>
      </c>
      <c r="N7" s="282">
        <f t="shared" si="1"/>
        <v>9.4034222399999992E-2</v>
      </c>
      <c r="O7" s="282">
        <v>4.7399999999999998E-2</v>
      </c>
      <c r="P7" s="318">
        <f>IF(C41=N7,1,0)</f>
        <v>1</v>
      </c>
      <c r="Q7" s="281"/>
      <c r="R7" s="281"/>
      <c r="S7" s="281"/>
      <c r="T7" s="281"/>
      <c r="U7" s="281"/>
      <c r="V7" s="281"/>
    </row>
    <row r="8" spans="1:22">
      <c r="A8" s="280" t="s">
        <v>592</v>
      </c>
      <c r="B8" s="280" t="s">
        <v>655</v>
      </c>
      <c r="C8" s="280">
        <f t="shared" si="0"/>
        <v>4.1386999999999995E-3</v>
      </c>
      <c r="D8" s="280">
        <v>3.823E-3</v>
      </c>
      <c r="E8" s="280">
        <v>2.5799999999999998E-4</v>
      </c>
      <c r="F8" s="262">
        <v>5.77E-5</v>
      </c>
      <c r="H8" s="283" t="s">
        <v>656</v>
      </c>
      <c r="I8" s="286" t="s">
        <v>646</v>
      </c>
      <c r="J8" s="283">
        <f>D4</f>
        <v>13.02375</v>
      </c>
      <c r="K8" s="283">
        <f>E4</f>
        <v>4.8519600000000001</v>
      </c>
      <c r="L8" s="282">
        <f>F4</f>
        <v>3.3519E-2</v>
      </c>
      <c r="M8" s="282">
        <v>0</v>
      </c>
      <c r="N8" s="282">
        <f t="shared" si="1"/>
        <v>17.909228999999996</v>
      </c>
      <c r="O8" s="282">
        <v>0.91400000000000003</v>
      </c>
      <c r="P8" s="318">
        <f>IF(C4=N8,1,0)</f>
        <v>1</v>
      </c>
      <c r="Q8" s="281"/>
      <c r="R8" s="281"/>
      <c r="S8" s="281"/>
      <c r="T8" s="281"/>
      <c r="U8" s="281"/>
      <c r="V8" s="281"/>
    </row>
    <row r="9" spans="1:22">
      <c r="A9" s="280" t="s">
        <v>593</v>
      </c>
      <c r="B9" s="280" t="s">
        <v>657</v>
      </c>
      <c r="C9" s="280">
        <f t="shared" si="0"/>
        <v>4.9420000000000002E-11</v>
      </c>
      <c r="D9" s="280">
        <v>3.6500000000000003E-11</v>
      </c>
      <c r="E9" s="280">
        <v>1.0199999999999999E-11</v>
      </c>
      <c r="F9" s="262">
        <v>2.7200000000000001E-12</v>
      </c>
      <c r="H9" s="283" t="s">
        <v>656</v>
      </c>
      <c r="I9" s="283" t="s">
        <v>648</v>
      </c>
      <c r="J9" s="283">
        <f>D23</f>
        <v>12.75403</v>
      </c>
      <c r="K9" s="283">
        <f>E23</f>
        <v>2.3947539999999998</v>
      </c>
      <c r="L9" s="282">
        <v>0</v>
      </c>
      <c r="M9" s="282">
        <f>F23</f>
        <v>2.1473789999999999</v>
      </c>
      <c r="N9" s="282">
        <f t="shared" si="1"/>
        <v>17.296163</v>
      </c>
      <c r="O9" s="282">
        <v>0.91400000000000003</v>
      </c>
      <c r="P9" s="318">
        <f>IF(C23=N9,1,0)</f>
        <v>1</v>
      </c>
    </row>
    <row r="10" spans="1:22">
      <c r="A10" s="280" t="s">
        <v>594</v>
      </c>
      <c r="B10" s="280" t="s">
        <v>657</v>
      </c>
      <c r="C10" s="280">
        <f t="shared" si="0"/>
        <v>9.2519999999999997E-8</v>
      </c>
      <c r="D10" s="280">
        <v>5.7800000000000003E-9</v>
      </c>
      <c r="E10" s="280">
        <v>8.6599999999999995E-8</v>
      </c>
      <c r="F10" s="262">
        <v>1.4000000000000001E-10</v>
      </c>
      <c r="H10" s="283" t="s">
        <v>656</v>
      </c>
      <c r="I10" s="283" t="s">
        <v>650</v>
      </c>
      <c r="J10" s="283">
        <f>D42</f>
        <v>12.75403</v>
      </c>
      <c r="K10" s="283">
        <f>E42</f>
        <v>2.3947539999999998</v>
      </c>
      <c r="L10" s="282">
        <v>0</v>
      </c>
      <c r="M10" s="282">
        <f>F42</f>
        <v>2.3665033000000002</v>
      </c>
      <c r="N10" s="282">
        <f t="shared" si="1"/>
        <v>17.515287300000001</v>
      </c>
      <c r="O10" s="282">
        <v>0.91400000000000003</v>
      </c>
      <c r="P10" s="318">
        <f>IF(C42=N10,1,0)</f>
        <v>1</v>
      </c>
    </row>
    <row r="11" spans="1:22">
      <c r="A11" s="280" t="s">
        <v>595</v>
      </c>
      <c r="B11" s="280" t="s">
        <v>658</v>
      </c>
      <c r="C11" s="280">
        <f t="shared" si="0"/>
        <v>4.5259999999999996E-3</v>
      </c>
      <c r="D11" s="280">
        <v>1.9559999999999998E-3</v>
      </c>
      <c r="E11" s="280">
        <v>2.0170000000000001E-3</v>
      </c>
      <c r="F11" s="262">
        <v>5.53E-4</v>
      </c>
      <c r="H11" s="283" t="s">
        <v>659</v>
      </c>
      <c r="I11" s="286" t="s">
        <v>646</v>
      </c>
      <c r="J11" s="283">
        <f>D6</f>
        <v>9.3499999999999996E-4</v>
      </c>
      <c r="K11" s="283">
        <f>E6</f>
        <v>1.2160000000000001E-3</v>
      </c>
      <c r="L11" s="282">
        <f>F6</f>
        <v>5.5600000000000001E-6</v>
      </c>
      <c r="M11" s="282">
        <v>0</v>
      </c>
      <c r="N11" s="282">
        <f t="shared" si="1"/>
        <v>2.1565600000000001E-3</v>
      </c>
      <c r="O11" s="282">
        <v>1.39E-3</v>
      </c>
      <c r="P11" s="318">
        <f>IF(C6=N11,1,0)</f>
        <v>1</v>
      </c>
    </row>
    <row r="12" spans="1:22">
      <c r="A12" s="280" t="s">
        <v>596</v>
      </c>
      <c r="B12" s="280" t="s">
        <v>660</v>
      </c>
      <c r="C12" s="280">
        <f t="shared" si="0"/>
        <v>8.7694580000000002</v>
      </c>
      <c r="D12" s="280">
        <v>8.5348690000000005</v>
      </c>
      <c r="E12" s="280">
        <v>0.21801599999999999</v>
      </c>
      <c r="F12" s="262">
        <v>1.6573000000000001E-2</v>
      </c>
      <c r="H12" s="283" t="s">
        <v>659</v>
      </c>
      <c r="I12" s="283" t="s">
        <v>648</v>
      </c>
      <c r="J12" s="283">
        <f>D25</f>
        <v>6.2600000000000004E-4</v>
      </c>
      <c r="K12" s="283">
        <f>E25</f>
        <v>5.9699999999999998E-4</v>
      </c>
      <c r="L12" s="282">
        <v>0</v>
      </c>
      <c r="M12" s="282">
        <f>F25</f>
        <v>5.9199999999999997E-4</v>
      </c>
      <c r="N12" s="282">
        <f t="shared" si="1"/>
        <v>1.8150000000000002E-3</v>
      </c>
      <c r="O12" s="282">
        <v>1.39E-3</v>
      </c>
      <c r="P12" s="318">
        <f>IF(C25=N12,1,0)</f>
        <v>1</v>
      </c>
    </row>
    <row r="13" spans="1:22">
      <c r="A13" s="280" t="s">
        <v>597</v>
      </c>
      <c r="B13" s="280" t="s">
        <v>661</v>
      </c>
      <c r="C13" s="280">
        <f t="shared" si="0"/>
        <v>6.4469999999999998E-9</v>
      </c>
      <c r="D13" s="280">
        <v>5.93E-9</v>
      </c>
      <c r="E13" s="280">
        <v>4.1200000000000002E-10</v>
      </c>
      <c r="F13" s="262">
        <v>1.05E-10</v>
      </c>
      <c r="H13" s="283" t="s">
        <v>659</v>
      </c>
      <c r="I13" s="283" t="s">
        <v>650</v>
      </c>
      <c r="J13" s="283">
        <f>D44</f>
        <v>6.2600000000000004E-4</v>
      </c>
      <c r="K13" s="283">
        <f>E44</f>
        <v>5.9699999999999998E-4</v>
      </c>
      <c r="L13" s="282">
        <v>0</v>
      </c>
      <c r="M13" s="282">
        <f>F44</f>
        <v>5.8984827000000003E-4</v>
      </c>
      <c r="N13" s="282">
        <f t="shared" si="1"/>
        <v>1.8128482700000002E-3</v>
      </c>
      <c r="O13" s="282">
        <v>1.39E-3</v>
      </c>
      <c r="P13" s="318">
        <f>IF(C44=N13,1,0)</f>
        <v>1</v>
      </c>
    </row>
    <row r="14" spans="1:22">
      <c r="A14" s="280" t="s">
        <v>598</v>
      </c>
      <c r="B14" s="280" t="s">
        <v>662</v>
      </c>
      <c r="C14" s="280">
        <f t="shared" si="0"/>
        <v>6.332E-4</v>
      </c>
      <c r="D14" s="280">
        <v>5.2099999999999998E-4</v>
      </c>
      <c r="E14" s="280">
        <v>8.8499999999999996E-5</v>
      </c>
      <c r="F14" s="262">
        <v>2.37E-5</v>
      </c>
      <c r="H14" s="283" t="s">
        <v>663</v>
      </c>
      <c r="I14" s="286" t="s">
        <v>646</v>
      </c>
      <c r="J14" s="283">
        <f>D7</f>
        <v>1.9300000000000002E-5</v>
      </c>
      <c r="K14" s="283">
        <f>E7</f>
        <v>6.4999999999999994E-5</v>
      </c>
      <c r="L14" s="282">
        <f>F7</f>
        <v>2.65E-6</v>
      </c>
      <c r="M14" s="282">
        <v>0</v>
      </c>
      <c r="N14" s="282">
        <f t="shared" si="1"/>
        <v>8.6949999999999986E-5</v>
      </c>
      <c r="O14" s="282">
        <v>4.0399999999999999E-5</v>
      </c>
      <c r="P14" s="318">
        <f>IF(C7=N14,1,0)</f>
        <v>1</v>
      </c>
    </row>
    <row r="15" spans="1:22">
      <c r="A15" s="280" t="s">
        <v>599</v>
      </c>
      <c r="B15" s="280" t="s">
        <v>664</v>
      </c>
      <c r="C15" s="280">
        <f t="shared" si="0"/>
        <v>1.4833059999999998</v>
      </c>
      <c r="D15" s="280">
        <v>1.0563419999999999</v>
      </c>
      <c r="E15" s="280">
        <v>0.32968500000000001</v>
      </c>
      <c r="F15" s="262">
        <v>9.7279000000000004E-2</v>
      </c>
      <c r="H15" s="283" t="s">
        <v>663</v>
      </c>
      <c r="I15" s="283" t="s">
        <v>648</v>
      </c>
      <c r="J15" s="283">
        <f>D26</f>
        <v>1.73E-5</v>
      </c>
      <c r="K15" s="283">
        <f>E26</f>
        <v>3.0000000000000001E-5</v>
      </c>
      <c r="L15" s="282">
        <v>0</v>
      </c>
      <c r="M15" s="282">
        <f>F26</f>
        <v>2.9899999999999998E-5</v>
      </c>
      <c r="N15" s="282">
        <f t="shared" si="1"/>
        <v>7.7199999999999993E-5</v>
      </c>
      <c r="O15" s="282">
        <v>4.0399999999999999E-5</v>
      </c>
      <c r="P15" s="318">
        <f>IF(C26=N15,1,0)</f>
        <v>1</v>
      </c>
    </row>
    <row r="16" spans="1:22">
      <c r="A16" s="280" t="s">
        <v>600</v>
      </c>
      <c r="B16" s="280" t="s">
        <v>665</v>
      </c>
      <c r="C16" s="280">
        <f t="shared" si="0"/>
        <v>9.8200000000000008E-7</v>
      </c>
      <c r="D16" s="280">
        <v>6.0100000000000005E-7</v>
      </c>
      <c r="E16" s="280">
        <v>2.34E-7</v>
      </c>
      <c r="F16" s="262">
        <v>1.4700000000000001E-7</v>
      </c>
      <c r="H16" s="283" t="s">
        <v>663</v>
      </c>
      <c r="I16" s="283" t="s">
        <v>650</v>
      </c>
      <c r="J16" s="283">
        <f>D45</f>
        <v>1.73E-5</v>
      </c>
      <c r="K16" s="283">
        <f>E45</f>
        <v>3.0000000000000001E-5</v>
      </c>
      <c r="L16" s="282">
        <v>0</v>
      </c>
      <c r="M16" s="282">
        <f>F45</f>
        <v>2.9536796000000001E-5</v>
      </c>
      <c r="N16" s="282">
        <f t="shared" si="1"/>
        <v>7.6836795999999998E-5</v>
      </c>
      <c r="O16" s="282">
        <v>4.0399999999999999E-5</v>
      </c>
      <c r="P16" s="318">
        <f>IF(C45=N16,1,0)</f>
        <v>1</v>
      </c>
    </row>
    <row r="17" spans="1:16">
      <c r="A17" s="280" t="s">
        <v>601</v>
      </c>
      <c r="B17" s="280" t="s">
        <v>666</v>
      </c>
      <c r="C17" s="280">
        <f t="shared" si="0"/>
        <v>1.0087664999999999</v>
      </c>
      <c r="D17" s="280">
        <v>3.4125000000000003E-2</v>
      </c>
      <c r="E17" s="280">
        <v>9.3469999999999994E-3</v>
      </c>
      <c r="F17" s="262">
        <v>0.96529449999999994</v>
      </c>
      <c r="H17" s="283" t="s">
        <v>667</v>
      </c>
      <c r="I17" s="286" t="s">
        <v>646</v>
      </c>
      <c r="J17" s="283">
        <f>D9</f>
        <v>3.6500000000000003E-11</v>
      </c>
      <c r="K17" s="283">
        <f>E9</f>
        <v>1.0199999999999999E-11</v>
      </c>
      <c r="L17" s="282">
        <f>F9</f>
        <v>2.7200000000000001E-12</v>
      </c>
      <c r="M17" s="282">
        <v>0</v>
      </c>
      <c r="N17" s="282">
        <f t="shared" si="1"/>
        <v>4.9420000000000002E-11</v>
      </c>
      <c r="O17" s="282">
        <v>6.6800000000000001E-9</v>
      </c>
      <c r="P17" s="318">
        <f>IF(C9=N17,1,0)</f>
        <v>1</v>
      </c>
    </row>
    <row r="18" spans="1:16">
      <c r="A18" s="284"/>
      <c r="B18" s="284"/>
      <c r="C18" s="284"/>
      <c r="D18" s="284"/>
      <c r="E18" s="284"/>
      <c r="F18" s="281"/>
      <c r="H18" s="283" t="s">
        <v>667</v>
      </c>
      <c r="I18" s="283" t="s">
        <v>648</v>
      </c>
      <c r="J18" s="283">
        <f>D28</f>
        <v>3.4200000000000002E-11</v>
      </c>
      <c r="K18" s="283">
        <f>E28</f>
        <v>1.4899999999999999E-12</v>
      </c>
      <c r="L18" s="282">
        <v>0</v>
      </c>
      <c r="M18" s="282">
        <f>F28</f>
        <v>1.81E-12</v>
      </c>
      <c r="N18" s="282">
        <f t="shared" si="1"/>
        <v>3.75E-11</v>
      </c>
      <c r="O18" s="282">
        <v>6.6800000000000001E-9</v>
      </c>
      <c r="P18" s="318">
        <f>IF(C28=N18,1,0)</f>
        <v>1</v>
      </c>
    </row>
    <row r="19" spans="1:16">
      <c r="A19" s="278" t="s">
        <v>668</v>
      </c>
      <c r="F19" s="281"/>
      <c r="H19" s="283" t="s">
        <v>667</v>
      </c>
      <c r="I19" s="283" t="s">
        <v>650</v>
      </c>
      <c r="J19" s="283">
        <f>D47</f>
        <v>3.4200000000000002E-11</v>
      </c>
      <c r="K19" s="283">
        <f>E47</f>
        <v>1.4899999999999999E-12</v>
      </c>
      <c r="L19" s="282">
        <v>0</v>
      </c>
      <c r="M19" s="282">
        <f>F47</f>
        <v>1.1135104E-12</v>
      </c>
      <c r="N19" s="282">
        <f t="shared" si="1"/>
        <v>3.6803510400000002E-11</v>
      </c>
      <c r="O19" s="282">
        <v>6.6800000000000001E-9</v>
      </c>
      <c r="P19" s="318">
        <f>IF(C47=N19,1,0)</f>
        <v>1</v>
      </c>
    </row>
    <row r="20" spans="1:16" ht="42">
      <c r="A20" s="323" t="s">
        <v>633</v>
      </c>
      <c r="B20" s="323" t="s">
        <v>202</v>
      </c>
      <c r="C20" s="323" t="s">
        <v>384</v>
      </c>
      <c r="D20" s="277" t="s">
        <v>669</v>
      </c>
      <c r="E20" s="277" t="s">
        <v>635</v>
      </c>
      <c r="F20" s="324" t="s">
        <v>670</v>
      </c>
      <c r="H20" s="283" t="s">
        <v>671</v>
      </c>
      <c r="I20" s="286" t="s">
        <v>646</v>
      </c>
      <c r="J20" s="283">
        <f>D10</f>
        <v>5.7800000000000003E-9</v>
      </c>
      <c r="K20" s="283">
        <f>E10</f>
        <v>8.6599999999999995E-8</v>
      </c>
      <c r="L20" s="282">
        <f>F10</f>
        <v>1.4000000000000001E-10</v>
      </c>
      <c r="M20" s="282">
        <v>0</v>
      </c>
      <c r="N20" s="282">
        <f t="shared" si="1"/>
        <v>9.2519999999999997E-8</v>
      </c>
      <c r="O20" s="282">
        <v>2.85E-8</v>
      </c>
      <c r="P20" s="318">
        <f>IF(C10=N20,1,0)</f>
        <v>1</v>
      </c>
    </row>
    <row r="21" spans="1:16">
      <c r="A21" s="283" t="s">
        <v>586</v>
      </c>
      <c r="B21" s="283" t="s">
        <v>644</v>
      </c>
      <c r="C21" s="283">
        <f>SUM(D21:F21)</f>
        <v>7.5929999999999997E-4</v>
      </c>
      <c r="D21" s="283">
        <v>7.2599999999999997E-4</v>
      </c>
      <c r="E21" s="283">
        <v>1.43E-5</v>
      </c>
      <c r="F21" s="283">
        <v>1.9000000000000001E-5</v>
      </c>
      <c r="H21" s="283" t="s">
        <v>671</v>
      </c>
      <c r="I21" s="283" t="s">
        <v>648</v>
      </c>
      <c r="J21" s="283">
        <f>D29</f>
        <v>5.6699999999999997E-9</v>
      </c>
      <c r="K21" s="283">
        <f>E29</f>
        <v>4.3100000000000002E-8</v>
      </c>
      <c r="L21" s="282">
        <v>0</v>
      </c>
      <c r="M21" s="282">
        <f>F29</f>
        <v>2.9900000000000003E-8</v>
      </c>
      <c r="N21" s="282">
        <f t="shared" si="1"/>
        <v>7.8670000000000002E-8</v>
      </c>
      <c r="O21" s="282">
        <v>2.85E-8</v>
      </c>
      <c r="P21" s="318">
        <f>IF(C29=N21,1,0)</f>
        <v>1</v>
      </c>
    </row>
    <row r="22" spans="1:16">
      <c r="A22" s="283" t="s">
        <v>587</v>
      </c>
      <c r="B22" s="283" t="s">
        <v>647</v>
      </c>
      <c r="C22" s="283">
        <f t="shared" ref="C22:C36" si="2">SUM(D22:F22)</f>
        <v>9.580799999999999E-2</v>
      </c>
      <c r="D22" s="283">
        <v>8.1046999999999994E-2</v>
      </c>
      <c r="E22" s="283">
        <v>6.7010000000000004E-3</v>
      </c>
      <c r="F22" s="283">
        <v>8.0599999999999995E-3</v>
      </c>
      <c r="H22" s="283" t="s">
        <v>671</v>
      </c>
      <c r="I22" s="283" t="s">
        <v>650</v>
      </c>
      <c r="J22" s="283">
        <f>D48</f>
        <v>5.6699999999999997E-9</v>
      </c>
      <c r="K22" s="283">
        <f>E48</f>
        <v>4.3100000000000002E-8</v>
      </c>
      <c r="L22" s="282">
        <v>0</v>
      </c>
      <c r="M22" s="282">
        <f>F48</f>
        <v>4.2602E-8</v>
      </c>
      <c r="N22" s="282">
        <f t="shared" si="1"/>
        <v>9.1372000000000006E-8</v>
      </c>
      <c r="O22" s="282">
        <v>2.85E-8</v>
      </c>
      <c r="P22" s="318">
        <f>IF(C48=N22,1,0)</f>
        <v>1</v>
      </c>
    </row>
    <row r="23" spans="1:16">
      <c r="A23" s="283" t="s">
        <v>588</v>
      </c>
      <c r="B23" s="283" t="s">
        <v>649</v>
      </c>
      <c r="C23" s="283">
        <f t="shared" si="2"/>
        <v>17.296163</v>
      </c>
      <c r="D23" s="283">
        <v>12.75403</v>
      </c>
      <c r="E23" s="283">
        <v>2.3947539999999998</v>
      </c>
      <c r="F23" s="283">
        <v>2.1473789999999999</v>
      </c>
      <c r="H23" s="283" t="s">
        <v>672</v>
      </c>
      <c r="I23" s="286" t="s">
        <v>646</v>
      </c>
      <c r="J23" s="283">
        <f>D17</f>
        <v>3.4125000000000003E-2</v>
      </c>
      <c r="K23" s="283">
        <f>E17</f>
        <v>9.3469999999999994E-3</v>
      </c>
      <c r="L23" s="282">
        <f>F17</f>
        <v>0.96529449999999994</v>
      </c>
      <c r="M23" s="282">
        <v>0</v>
      </c>
      <c r="N23" s="282">
        <f t="shared" si="1"/>
        <v>1.0087664999999999</v>
      </c>
      <c r="O23" s="282">
        <v>1.26</v>
      </c>
      <c r="P23" s="318">
        <f>IF(C17=N23,1,0)</f>
        <v>1</v>
      </c>
    </row>
    <row r="24" spans="1:16">
      <c r="A24" s="283" t="s">
        <v>589</v>
      </c>
      <c r="B24" s="283" t="s">
        <v>651</v>
      </c>
      <c r="C24" s="283">
        <f t="shared" si="2"/>
        <v>5.0510000000000009E-9</v>
      </c>
      <c r="D24" s="283">
        <v>4.7200000000000002E-9</v>
      </c>
      <c r="E24" s="283">
        <v>1.5199999999999999E-10</v>
      </c>
      <c r="F24" s="283">
        <v>1.79E-10</v>
      </c>
      <c r="H24" s="283" t="s">
        <v>672</v>
      </c>
      <c r="I24" s="283" t="s">
        <v>648</v>
      </c>
      <c r="J24" s="283">
        <f>D36</f>
        <v>2.8281000000000001E-2</v>
      </c>
      <c r="K24" s="283">
        <f>E36</f>
        <v>1.1969999999999999E-3</v>
      </c>
      <c r="L24" s="282">
        <v>0</v>
      </c>
      <c r="M24" s="282">
        <f>F36</f>
        <v>-0.11081106630000001</v>
      </c>
      <c r="N24" s="282">
        <f t="shared" si="1"/>
        <v>-8.1333066300000006E-2</v>
      </c>
      <c r="O24" s="282">
        <v>1.26</v>
      </c>
      <c r="P24" s="318">
        <f>IF(C36=N24,1,0)</f>
        <v>1</v>
      </c>
    </row>
    <row r="25" spans="1:16">
      <c r="A25" s="283" t="s">
        <v>590</v>
      </c>
      <c r="B25" s="283" t="s">
        <v>653</v>
      </c>
      <c r="C25" s="283">
        <f t="shared" si="2"/>
        <v>1.8150000000000002E-3</v>
      </c>
      <c r="D25" s="283">
        <v>6.2600000000000004E-4</v>
      </c>
      <c r="E25" s="283">
        <v>5.9699999999999998E-4</v>
      </c>
      <c r="F25" s="283">
        <v>5.9199999999999997E-4</v>
      </c>
      <c r="H25" s="283" t="s">
        <v>673</v>
      </c>
      <c r="I25" s="283" t="s">
        <v>650</v>
      </c>
      <c r="J25" s="283">
        <f>D55</f>
        <v>2.8281000000000001E-2</v>
      </c>
      <c r="K25" s="283">
        <f>E55</f>
        <v>1.1969999999999999E-3</v>
      </c>
      <c r="L25" s="282">
        <v>0</v>
      </c>
      <c r="M25" s="282">
        <f>F55</f>
        <v>-0.11130728540000001</v>
      </c>
      <c r="N25" s="282">
        <f t="shared" si="1"/>
        <v>-8.1829285400000007E-2</v>
      </c>
      <c r="O25" s="282">
        <v>1.26</v>
      </c>
      <c r="P25" s="318">
        <f>IF(C55=N25,1,0)</f>
        <v>1</v>
      </c>
    </row>
    <row r="26" spans="1:16">
      <c r="A26" s="283" t="s">
        <v>591</v>
      </c>
      <c r="B26" s="283" t="s">
        <v>654</v>
      </c>
      <c r="C26" s="283">
        <f t="shared" si="2"/>
        <v>7.7199999999999993E-5</v>
      </c>
      <c r="D26" s="283">
        <v>1.73E-5</v>
      </c>
      <c r="E26" s="283">
        <v>3.0000000000000001E-5</v>
      </c>
      <c r="F26" s="283">
        <v>2.9899999999999998E-5</v>
      </c>
      <c r="H26" s="278" t="s">
        <v>674</v>
      </c>
    </row>
    <row r="27" spans="1:16">
      <c r="A27" s="283" t="s">
        <v>592</v>
      </c>
      <c r="B27" s="283" t="s">
        <v>655</v>
      </c>
      <c r="C27" s="283">
        <f t="shared" si="2"/>
        <v>2.9239000000000001E-3</v>
      </c>
      <c r="D27" s="283">
        <v>2.8549999999999999E-3</v>
      </c>
      <c r="E27" s="283">
        <v>2.7500000000000001E-5</v>
      </c>
      <c r="F27" s="283">
        <v>4.1399999999999997E-5</v>
      </c>
    </row>
    <row r="28" spans="1:16">
      <c r="A28" s="283" t="s">
        <v>593</v>
      </c>
      <c r="B28" s="283" t="s">
        <v>657</v>
      </c>
      <c r="C28" s="283">
        <f t="shared" si="2"/>
        <v>3.75E-11</v>
      </c>
      <c r="D28" s="283">
        <v>3.4200000000000002E-11</v>
      </c>
      <c r="E28" s="283">
        <v>1.4899999999999999E-12</v>
      </c>
      <c r="F28" s="283">
        <v>1.81E-12</v>
      </c>
    </row>
    <row r="29" spans="1:16">
      <c r="A29" s="283" t="s">
        <v>594</v>
      </c>
      <c r="B29" s="283" t="s">
        <v>657</v>
      </c>
      <c r="C29" s="283">
        <f t="shared" si="2"/>
        <v>7.8670000000000002E-8</v>
      </c>
      <c r="D29" s="283">
        <v>5.6699999999999997E-9</v>
      </c>
      <c r="E29" s="283">
        <v>4.3100000000000002E-8</v>
      </c>
      <c r="F29" s="283">
        <v>2.9900000000000003E-8</v>
      </c>
      <c r="H29" s="279" t="s">
        <v>603</v>
      </c>
      <c r="I29" s="279" t="s">
        <v>675</v>
      </c>
      <c r="J29" s="279" t="s">
        <v>676</v>
      </c>
    </row>
    <row r="30" spans="1:16">
      <c r="A30" s="283" t="s">
        <v>595</v>
      </c>
      <c r="B30" s="283" t="s">
        <v>658</v>
      </c>
      <c r="C30" s="283">
        <f t="shared" si="2"/>
        <v>2.3549999999999999E-3</v>
      </c>
      <c r="D30" s="283">
        <v>1.6540000000000001E-3</v>
      </c>
      <c r="E30" s="283">
        <v>2.8699999999999998E-4</v>
      </c>
      <c r="F30" s="283">
        <v>4.1399999999999998E-4</v>
      </c>
      <c r="H30" s="314" t="s">
        <v>645</v>
      </c>
      <c r="I30" s="314">
        <f>(N3-N2)/N2</f>
        <v>-0.30859588417410316</v>
      </c>
      <c r="J30" s="314">
        <f>(N4-N2)/N2</f>
        <v>-0.31404466672737219</v>
      </c>
    </row>
    <row r="31" spans="1:16">
      <c r="A31" s="283" t="s">
        <v>596</v>
      </c>
      <c r="B31" s="283" t="s">
        <v>660</v>
      </c>
      <c r="C31" s="283">
        <f t="shared" si="2"/>
        <v>8.0634080000000008</v>
      </c>
      <c r="D31" s="283">
        <v>8.4817979999999995</v>
      </c>
      <c r="E31" s="283">
        <v>-0.18123</v>
      </c>
      <c r="F31" s="283">
        <v>-0.23716000000000001</v>
      </c>
      <c r="H31" s="314" t="s">
        <v>652</v>
      </c>
      <c r="I31" s="314">
        <f>(N6-N5)/N5</f>
        <v>-0.24306729660119775</v>
      </c>
      <c r="J31" s="314">
        <f>(N7-N5)/N5</f>
        <v>-0.25708105614107163</v>
      </c>
    </row>
    <row r="32" spans="1:16">
      <c r="A32" s="283" t="s">
        <v>597</v>
      </c>
      <c r="B32" s="283" t="s">
        <v>661</v>
      </c>
      <c r="C32" s="283">
        <f t="shared" si="2"/>
        <v>5.9310000000000003E-9</v>
      </c>
      <c r="D32" s="283">
        <v>5.7699999999999997E-9</v>
      </c>
      <c r="E32" s="283">
        <v>6.1299999999999998E-11</v>
      </c>
      <c r="F32" s="283">
        <v>9.9700000000000002E-11</v>
      </c>
      <c r="H32" s="314" t="s">
        <v>677</v>
      </c>
      <c r="I32" s="314">
        <f>(N18-N17)/N17</f>
        <v>-0.24119789558883048</v>
      </c>
      <c r="J32" s="314">
        <f>(N19-N17)/N17</f>
        <v>-0.25529116956697695</v>
      </c>
    </row>
    <row r="33" spans="1:10">
      <c r="A33" s="283" t="s">
        <v>598</v>
      </c>
      <c r="B33" s="283" t="s">
        <v>662</v>
      </c>
      <c r="C33" s="283">
        <f t="shared" si="2"/>
        <v>5.0069999999999997E-4</v>
      </c>
      <c r="D33" s="283">
        <v>4.7399999999999997E-4</v>
      </c>
      <c r="E33" s="283">
        <v>1.04E-5</v>
      </c>
      <c r="F33" s="283">
        <v>1.63E-5</v>
      </c>
      <c r="H33" s="283" t="s">
        <v>678</v>
      </c>
      <c r="I33" s="314">
        <f>(N9-N8)/N8</f>
        <v>-3.4231847724991202E-2</v>
      </c>
      <c r="J33" s="314">
        <f>(N10-N8)/N8</f>
        <v>-2.1996575061941286E-2</v>
      </c>
    </row>
    <row r="34" spans="1:10">
      <c r="A34" s="283" t="s">
        <v>599</v>
      </c>
      <c r="B34" s="283" t="s">
        <v>664</v>
      </c>
      <c r="C34" s="283">
        <f t="shared" si="2"/>
        <v>1.0425199999999999</v>
      </c>
      <c r="D34" s="283">
        <v>0.942438</v>
      </c>
      <c r="E34" s="283">
        <v>3.9461000000000003E-2</v>
      </c>
      <c r="F34" s="283">
        <v>6.0621000000000001E-2</v>
      </c>
      <c r="H34" s="283" t="s">
        <v>679</v>
      </c>
      <c r="I34" s="314">
        <f t="shared" ref="I34" si="3">(N9-N8)/N8</f>
        <v>-3.4231847724991202E-2</v>
      </c>
      <c r="J34" s="314">
        <f>(N10-N8)/N8</f>
        <v>-2.1996575061941286E-2</v>
      </c>
    </row>
    <row r="35" spans="1:10">
      <c r="A35" s="283" t="s">
        <v>600</v>
      </c>
      <c r="B35" s="283" t="s">
        <v>665</v>
      </c>
      <c r="C35" s="283">
        <f t="shared" si="2"/>
        <v>6.0759999999999991E-7</v>
      </c>
      <c r="D35" s="283">
        <v>4.6499999999999999E-7</v>
      </c>
      <c r="E35" s="283">
        <v>7.0099999999999999E-8</v>
      </c>
      <c r="F35" s="283">
        <v>7.2499999999999994E-8</v>
      </c>
      <c r="H35" s="283" t="s">
        <v>680</v>
      </c>
      <c r="I35" s="314">
        <f>(N12-N11)/N11</f>
        <v>-0.15838186741848123</v>
      </c>
      <c r="J35" s="314">
        <f>(N13-N11)/N11</f>
        <v>-0.15937962774047554</v>
      </c>
    </row>
    <row r="36" spans="1:10" ht="27.95">
      <c r="A36" s="283" t="s">
        <v>601</v>
      </c>
      <c r="B36" s="283" t="s">
        <v>666</v>
      </c>
      <c r="C36" s="283">
        <f t="shared" si="2"/>
        <v>-8.1333066300000006E-2</v>
      </c>
      <c r="D36" s="283">
        <v>2.8281000000000001E-2</v>
      </c>
      <c r="E36" s="283">
        <v>1.1969999999999999E-3</v>
      </c>
      <c r="F36" s="283">
        <v>-0.11081106630000001</v>
      </c>
      <c r="H36" s="315" t="s">
        <v>681</v>
      </c>
      <c r="I36" s="314">
        <f>(N21-N20)/N20</f>
        <v>-0.14969736273238213</v>
      </c>
      <c r="J36" s="314">
        <f>(N22-N20)/N20</f>
        <v>-1.2408127972330216E-2</v>
      </c>
    </row>
    <row r="37" spans="1:10">
      <c r="H37" s="283" t="s">
        <v>682</v>
      </c>
      <c r="I37" s="314">
        <f>(N24-N23)/N23</f>
        <v>-1.0806262562248052</v>
      </c>
      <c r="J37" s="314">
        <f>(N25-N23)/N23</f>
        <v>-1.0811181630238513</v>
      </c>
    </row>
    <row r="38" spans="1:10">
      <c r="A38" s="285" t="s">
        <v>683</v>
      </c>
    </row>
    <row r="39" spans="1:10" ht="42">
      <c r="A39" s="325" t="s">
        <v>633</v>
      </c>
      <c r="B39" s="325" t="s">
        <v>202</v>
      </c>
      <c r="C39" s="325" t="s">
        <v>384</v>
      </c>
      <c r="D39" s="277" t="s">
        <v>669</v>
      </c>
      <c r="E39" s="277" t="s">
        <v>635</v>
      </c>
      <c r="F39" s="324" t="s">
        <v>670</v>
      </c>
    </row>
    <row r="40" spans="1:10">
      <c r="A40" s="280" t="s">
        <v>586</v>
      </c>
      <c r="B40" s="280" t="s">
        <v>644</v>
      </c>
      <c r="C40" s="280">
        <f>SUM(D40:F40)</f>
        <v>7.5331614699999992E-4</v>
      </c>
      <c r="D40" s="280">
        <v>7.2599999999999997E-4</v>
      </c>
      <c r="E40" s="280">
        <v>1.43E-5</v>
      </c>
      <c r="F40" s="283">
        <v>1.3016146999999999E-5</v>
      </c>
    </row>
    <row r="41" spans="1:10">
      <c r="A41" s="280" t="s">
        <v>587</v>
      </c>
      <c r="B41" s="280" t="s">
        <v>647</v>
      </c>
      <c r="C41" s="280">
        <f t="shared" ref="C41:C55" si="4">SUM(D41:F41)</f>
        <v>9.4034222399999992E-2</v>
      </c>
      <c r="D41" s="280">
        <v>8.1046999999999994E-2</v>
      </c>
      <c r="E41" s="280">
        <v>6.7010000000000004E-3</v>
      </c>
      <c r="F41" s="283">
        <v>6.2862224000000003E-3</v>
      </c>
    </row>
    <row r="42" spans="1:10">
      <c r="A42" s="280" t="s">
        <v>588</v>
      </c>
      <c r="B42" s="280" t="s">
        <v>649</v>
      </c>
      <c r="C42" s="280">
        <f t="shared" si="4"/>
        <v>17.515287300000001</v>
      </c>
      <c r="D42" s="280">
        <v>12.75403</v>
      </c>
      <c r="E42" s="280">
        <v>2.3947539999999998</v>
      </c>
      <c r="F42" s="283">
        <v>2.3665033000000002</v>
      </c>
    </row>
    <row r="43" spans="1:10">
      <c r="A43" s="280" t="s">
        <v>589</v>
      </c>
      <c r="B43" s="280" t="s">
        <v>651</v>
      </c>
      <c r="C43" s="280">
        <f t="shared" si="4"/>
        <v>4.9602590960000003E-9</v>
      </c>
      <c r="D43" s="280">
        <v>4.7200000000000002E-9</v>
      </c>
      <c r="E43" s="280">
        <v>1.5199999999999999E-10</v>
      </c>
      <c r="F43" s="283">
        <v>8.8259095999999996E-11</v>
      </c>
    </row>
    <row r="44" spans="1:10">
      <c r="A44" s="280" t="s">
        <v>590</v>
      </c>
      <c r="B44" s="280" t="s">
        <v>653</v>
      </c>
      <c r="C44" s="280">
        <f t="shared" si="4"/>
        <v>1.8128482700000002E-3</v>
      </c>
      <c r="D44" s="280">
        <v>6.2600000000000004E-4</v>
      </c>
      <c r="E44" s="280">
        <v>5.9699999999999998E-4</v>
      </c>
      <c r="F44" s="283">
        <v>5.8984827000000003E-4</v>
      </c>
    </row>
    <row r="45" spans="1:10">
      <c r="A45" s="280" t="s">
        <v>591</v>
      </c>
      <c r="B45" s="280" t="s">
        <v>654</v>
      </c>
      <c r="C45" s="280">
        <f t="shared" si="4"/>
        <v>7.6836795999999998E-5</v>
      </c>
      <c r="D45" s="280">
        <v>1.73E-5</v>
      </c>
      <c r="E45" s="280">
        <v>3.0000000000000001E-5</v>
      </c>
      <c r="F45" s="283">
        <v>2.9536796000000001E-5</v>
      </c>
    </row>
    <row r="46" spans="1:10">
      <c r="A46" s="280" t="s">
        <v>592</v>
      </c>
      <c r="B46" s="280" t="s">
        <v>655</v>
      </c>
      <c r="C46" s="280">
        <f t="shared" si="4"/>
        <v>2.9047794440000001E-3</v>
      </c>
      <c r="D46" s="280">
        <v>2.8549999999999999E-3</v>
      </c>
      <c r="E46" s="280">
        <v>2.7500000000000001E-5</v>
      </c>
      <c r="F46" s="283">
        <v>2.2279443999999999E-5</v>
      </c>
    </row>
    <row r="47" spans="1:10">
      <c r="A47" s="280" t="s">
        <v>593</v>
      </c>
      <c r="B47" s="280" t="s">
        <v>657</v>
      </c>
      <c r="C47" s="280">
        <f t="shared" si="4"/>
        <v>3.6803510400000002E-11</v>
      </c>
      <c r="D47" s="280">
        <v>3.4200000000000002E-11</v>
      </c>
      <c r="E47" s="280">
        <v>1.4899999999999999E-12</v>
      </c>
      <c r="F47" s="283">
        <v>1.1135104E-12</v>
      </c>
    </row>
    <row r="48" spans="1:10">
      <c r="A48" s="280" t="s">
        <v>594</v>
      </c>
      <c r="B48" s="280" t="s">
        <v>657</v>
      </c>
      <c r="C48" s="280">
        <f t="shared" si="4"/>
        <v>9.1372000000000006E-8</v>
      </c>
      <c r="D48" s="280">
        <v>5.6699999999999997E-9</v>
      </c>
      <c r="E48" s="280">
        <v>4.3100000000000002E-8</v>
      </c>
      <c r="F48" s="283">
        <v>4.2602E-8</v>
      </c>
    </row>
    <row r="49" spans="1:6">
      <c r="A49" s="280" t="s">
        <v>595</v>
      </c>
      <c r="B49" s="280" t="s">
        <v>658</v>
      </c>
      <c r="C49" s="280">
        <f t="shared" si="4"/>
        <v>2.2455873600000001E-3</v>
      </c>
      <c r="D49" s="280">
        <v>1.6540000000000001E-3</v>
      </c>
      <c r="E49" s="280">
        <v>2.8699999999999998E-4</v>
      </c>
      <c r="F49" s="283">
        <v>3.0458736000000001E-4</v>
      </c>
    </row>
    <row r="50" spans="1:6">
      <c r="A50" s="280" t="s">
        <v>596</v>
      </c>
      <c r="B50" s="280" t="s">
        <v>660</v>
      </c>
      <c r="C50" s="280">
        <f t="shared" si="4"/>
        <v>8.0574789800000008</v>
      </c>
      <c r="D50" s="280">
        <v>8.4817979999999995</v>
      </c>
      <c r="E50" s="280">
        <v>-0.18123</v>
      </c>
      <c r="F50" s="283">
        <v>-0.24308901999999999</v>
      </c>
    </row>
    <row r="51" spans="1:6">
      <c r="A51" s="280" t="s">
        <v>597</v>
      </c>
      <c r="B51" s="280" t="s">
        <v>661</v>
      </c>
      <c r="C51" s="280">
        <f t="shared" si="4"/>
        <v>5.895878874E-9</v>
      </c>
      <c r="D51" s="280">
        <v>5.7699999999999997E-9</v>
      </c>
      <c r="E51" s="280">
        <v>6.1299999999999998E-11</v>
      </c>
      <c r="F51" s="283">
        <v>6.4578873999999994E-11</v>
      </c>
    </row>
    <row r="52" spans="1:6">
      <c r="A52" s="280" t="s">
        <v>598</v>
      </c>
      <c r="B52" s="280" t="s">
        <v>662</v>
      </c>
      <c r="C52" s="280">
        <f t="shared" si="4"/>
        <v>4.9329573099999994E-4</v>
      </c>
      <c r="D52" s="280">
        <v>4.7399999999999997E-4</v>
      </c>
      <c r="E52" s="280">
        <v>1.04E-5</v>
      </c>
      <c r="F52" s="283">
        <v>8.895731E-6</v>
      </c>
    </row>
    <row r="53" spans="1:6">
      <c r="A53" s="280" t="s">
        <v>599</v>
      </c>
      <c r="B53" s="280" t="s">
        <v>664</v>
      </c>
      <c r="C53" s="280">
        <f t="shared" si="4"/>
        <v>1.02097134</v>
      </c>
      <c r="D53" s="280">
        <v>0.942438</v>
      </c>
      <c r="E53" s="280">
        <v>3.9461000000000003E-2</v>
      </c>
      <c r="F53" s="283">
        <v>3.9072339999999997E-2</v>
      </c>
    </row>
    <row r="54" spans="1:6">
      <c r="A54" s="280" t="s">
        <v>600</v>
      </c>
      <c r="B54" s="280" t="s">
        <v>665</v>
      </c>
      <c r="C54" s="280">
        <f t="shared" si="4"/>
        <v>6.0311899999999999E-7</v>
      </c>
      <c r="D54" s="280">
        <v>4.6499999999999999E-7</v>
      </c>
      <c r="E54" s="280">
        <v>7.0099999999999999E-8</v>
      </c>
      <c r="F54" s="283">
        <v>6.8018999999999995E-8</v>
      </c>
    </row>
    <row r="55" spans="1:6">
      <c r="A55" s="280" t="s">
        <v>601</v>
      </c>
      <c r="B55" s="280" t="s">
        <v>666</v>
      </c>
      <c r="C55" s="280">
        <f t="shared" si="4"/>
        <v>-8.1829285400000007E-2</v>
      </c>
      <c r="D55" s="280">
        <v>2.8281000000000001E-2</v>
      </c>
      <c r="E55" s="280">
        <v>1.1969999999999999E-3</v>
      </c>
      <c r="F55" s="283">
        <v>-0.11130728540000001</v>
      </c>
    </row>
    <row r="59" spans="1:6">
      <c r="C59" s="287"/>
      <c r="D59" s="287"/>
      <c r="E59" s="287"/>
    </row>
    <row r="62" spans="1:6">
      <c r="E62" s="288"/>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82023-730A-4002-B034-023941B157F3}">
  <sheetPr>
    <tabColor rgb="FF800074"/>
  </sheetPr>
  <dimension ref="A1:AB79"/>
  <sheetViews>
    <sheetView zoomScale="40" zoomScaleNormal="40" workbookViewId="0"/>
  </sheetViews>
  <sheetFormatPr defaultColWidth="11.42578125" defaultRowHeight="14.1"/>
  <cols>
    <col min="1" max="1" width="11.42578125" style="366"/>
    <col min="2" max="2" width="39.85546875" style="366" customWidth="1"/>
    <col min="3" max="3" width="23.42578125" style="366" customWidth="1"/>
    <col min="4" max="4" width="18.5703125" style="366" customWidth="1"/>
    <col min="5" max="5" width="21.5703125" style="366" customWidth="1"/>
    <col min="6" max="6" width="17.85546875" style="366" customWidth="1"/>
    <col min="7" max="7" width="21.42578125" style="366" customWidth="1"/>
    <col min="8" max="8" width="18.42578125" style="366" customWidth="1"/>
    <col min="9" max="9" width="19.42578125" style="366" customWidth="1"/>
    <col min="10" max="14" width="15.5703125" style="366" customWidth="1"/>
    <col min="15" max="15" width="22" style="366" customWidth="1"/>
    <col min="16" max="17" width="15.5703125" style="366" customWidth="1"/>
    <col min="18" max="18" width="14.5703125" style="366" customWidth="1"/>
    <col min="19" max="22" width="15" style="366" customWidth="1"/>
    <col min="23" max="23" width="13.140625" style="366" customWidth="1"/>
    <col min="24" max="24" width="11.42578125" style="366"/>
    <col min="25" max="25" width="6.85546875" style="366" bestFit="1" customWidth="1"/>
    <col min="26" max="30" width="11.42578125" style="366"/>
    <col min="31" max="31" width="4.42578125" style="366" customWidth="1"/>
    <col min="32" max="32" width="11.42578125" style="366"/>
    <col min="33" max="33" width="16.42578125" style="366" customWidth="1"/>
    <col min="34" max="34" width="11.42578125" style="366"/>
    <col min="35" max="35" width="3.85546875" style="366" customWidth="1"/>
    <col min="36" max="16384" width="11.42578125" style="366"/>
  </cols>
  <sheetData>
    <row r="1" spans="1:18" s="365" customFormat="1" ht="45.6">
      <c r="A1" s="365" t="s">
        <v>684</v>
      </c>
      <c r="L1" s="365" t="str">
        <f>MID(1/3,2,1)</f>
        <v>.</v>
      </c>
    </row>
    <row r="4" spans="1:18" s="367" customFormat="1" ht="14.45" thickBot="1">
      <c r="B4" s="367" t="str">
        <f>"Price cost for treatment - Operation of "&amp;TEXT(D5,"0")&amp;" years ("&amp;TEXT(D30,"0 000") &amp;" m"&amp;CHAR(179)&amp;"/year)"</f>
        <v>Price cost for treatment - Operation of 30 years (290 000 m³/year)</v>
      </c>
    </row>
    <row r="5" spans="1:18">
      <c r="B5" s="368" t="s">
        <v>685</v>
      </c>
      <c r="C5" s="369" t="s">
        <v>686</v>
      </c>
      <c r="D5" s="370">
        <v>30</v>
      </c>
      <c r="E5" s="371"/>
      <c r="F5" s="371"/>
      <c r="G5" s="371"/>
      <c r="H5" s="371"/>
      <c r="I5" s="371"/>
      <c r="J5" s="372"/>
    </row>
    <row r="6" spans="1:18">
      <c r="B6" s="373"/>
      <c r="J6" s="374"/>
    </row>
    <row r="7" spans="1:18" ht="15.95">
      <c r="B7" s="373"/>
      <c r="E7" s="375" t="s">
        <v>221</v>
      </c>
      <c r="F7" s="375" t="s">
        <v>584</v>
      </c>
      <c r="G7" s="375"/>
      <c r="H7" s="375"/>
      <c r="I7" s="375"/>
      <c r="J7" s="376" t="s">
        <v>687</v>
      </c>
      <c r="L7" s="377" t="s">
        <v>688</v>
      </c>
      <c r="M7" s="377"/>
    </row>
    <row r="8" spans="1:18" ht="15.95">
      <c r="B8" s="378" t="s">
        <v>689</v>
      </c>
      <c r="C8" s="377" t="s">
        <v>690</v>
      </c>
      <c r="D8" s="379"/>
      <c r="E8" s="380">
        <f>SUMIF(B45:B74,D5,P45:P74)</f>
        <v>0.12619929129569962</v>
      </c>
      <c r="F8" s="380">
        <f>SUMIF(B45:B74,D5,Q45:Q74)</f>
        <v>0.489076613254535</v>
      </c>
      <c r="G8" s="380"/>
      <c r="H8" s="380"/>
      <c r="I8" s="380"/>
      <c r="J8" s="381">
        <f>SUM(E8:G8)</f>
        <v>0.61527590455023462</v>
      </c>
      <c r="L8" s="366" t="str">
        <f>TEXT(J8,"0"&amp;MID(1/3,2,1)&amp;"00")&amp;" €/m"&amp;CHAR(179)</f>
        <v>0.62 €/m³</v>
      </c>
      <c r="M8" s="382"/>
    </row>
    <row r="9" spans="1:18" ht="14.45" thickBot="1">
      <c r="E9" s="382"/>
      <c r="F9" s="382"/>
      <c r="G9" s="382"/>
      <c r="H9" s="382"/>
      <c r="I9" s="382"/>
      <c r="J9" s="382"/>
    </row>
    <row r="10" spans="1:18">
      <c r="B10" s="383" t="s">
        <v>691</v>
      </c>
      <c r="C10" s="369"/>
      <c r="D10" s="369"/>
      <c r="E10" s="384">
        <f>E8/$J8</f>
        <v>0.20511008209877979</v>
      </c>
      <c r="F10" s="384">
        <f>F8/$J8</f>
        <v>0.79488991790122021</v>
      </c>
      <c r="G10" s="384"/>
      <c r="H10" s="384"/>
      <c r="I10" s="384"/>
      <c r="J10" s="385"/>
      <c r="K10" s="386">
        <f>J10-SUM(E10:I10)</f>
        <v>-1</v>
      </c>
    </row>
    <row r="11" spans="1:18">
      <c r="E11" s="382"/>
      <c r="F11" s="382"/>
      <c r="G11" s="382"/>
      <c r="H11" s="382"/>
      <c r="I11" s="382"/>
      <c r="J11" s="382"/>
    </row>
    <row r="12" spans="1:18">
      <c r="E12" s="382"/>
      <c r="F12" s="382"/>
      <c r="G12" s="382"/>
      <c r="H12" s="382"/>
      <c r="I12" s="382"/>
      <c r="J12" s="382"/>
    </row>
    <row r="15" spans="1:18" s="367" customFormat="1" ht="14.45" thickBot="1">
      <c r="B15" s="367" t="s">
        <v>692</v>
      </c>
    </row>
    <row r="16" spans="1:18">
      <c r="B16" s="368"/>
      <c r="C16" s="371"/>
      <c r="D16" s="387" t="s">
        <v>384</v>
      </c>
      <c r="E16" s="375" t="s">
        <v>221</v>
      </c>
      <c r="F16" s="375" t="s">
        <v>584</v>
      </c>
      <c r="G16" s="375"/>
      <c r="H16" s="375"/>
      <c r="I16" s="375"/>
      <c r="J16" s="388"/>
      <c r="K16" s="388"/>
      <c r="L16" s="388"/>
      <c r="M16" s="388"/>
      <c r="N16" s="388"/>
      <c r="O16" s="388"/>
      <c r="P16" s="388"/>
      <c r="Q16" s="388"/>
      <c r="R16" s="389"/>
    </row>
    <row r="17" spans="2:18">
      <c r="B17" s="378" t="s">
        <v>693</v>
      </c>
      <c r="C17" s="379"/>
      <c r="D17" s="390">
        <f>SUM(E17:I17)</f>
        <v>3468400</v>
      </c>
      <c r="E17" s="391">
        <f>E18</f>
        <v>1430000</v>
      </c>
      <c r="F17" s="391">
        <f>F18</f>
        <v>2038400</v>
      </c>
      <c r="G17" s="391"/>
      <c r="H17" s="391"/>
      <c r="I17" s="392"/>
      <c r="J17" s="388"/>
      <c r="K17" s="388"/>
      <c r="L17" s="388"/>
      <c r="M17" s="388"/>
      <c r="N17" s="388"/>
      <c r="O17" s="388"/>
      <c r="P17" s="388"/>
      <c r="Q17" s="388"/>
      <c r="R17" s="389"/>
    </row>
    <row r="18" spans="2:18" ht="14.45">
      <c r="B18" s="393" t="s">
        <v>694</v>
      </c>
      <c r="C18" s="394" t="s">
        <v>156</v>
      </c>
      <c r="D18" s="395">
        <f>SUM(E18:I18)</f>
        <v>3468400</v>
      </c>
      <c r="E18" s="396">
        <f>[1]Reuse_LCI!L10+[1]Reuse_LCI!L14</f>
        <v>1430000</v>
      </c>
      <c r="F18" s="396">
        <f>[1]Reuse_LCI!L23+[1]Reuse_LCI!L31</f>
        <v>2038400</v>
      </c>
      <c r="G18" s="397"/>
      <c r="H18" s="397"/>
      <c r="I18" s="398"/>
      <c r="J18" s="399"/>
      <c r="K18" s="400"/>
      <c r="L18" s="400"/>
      <c r="M18" s="400"/>
      <c r="N18" s="400"/>
      <c r="O18" s="400"/>
      <c r="P18" s="400"/>
      <c r="Q18" s="400"/>
    </row>
    <row r="19" spans="2:18">
      <c r="B19" s="393" t="s">
        <v>695</v>
      </c>
      <c r="C19" s="394" t="s">
        <v>696</v>
      </c>
      <c r="D19" s="401"/>
      <c r="E19" s="401"/>
      <c r="F19" s="401"/>
      <c r="G19" s="401"/>
      <c r="H19" s="401"/>
      <c r="I19" s="402"/>
      <c r="J19" s="399"/>
      <c r="K19" s="400"/>
      <c r="L19" s="400"/>
      <c r="M19" s="400"/>
      <c r="N19" s="400"/>
      <c r="O19" s="400"/>
      <c r="P19" s="400"/>
      <c r="Q19" s="400"/>
    </row>
    <row r="20" spans="2:18" ht="14.45">
      <c r="B20" s="393"/>
      <c r="C20" s="394" t="s">
        <v>156</v>
      </c>
      <c r="D20" s="395">
        <f>SUM(E20:I20)</f>
        <v>0</v>
      </c>
      <c r="E20" s="397"/>
      <c r="F20" s="397"/>
      <c r="G20" s="397"/>
      <c r="H20" s="397"/>
      <c r="I20" s="398"/>
      <c r="J20" s="399"/>
      <c r="K20" s="400"/>
      <c r="L20" s="400"/>
      <c r="M20" s="400"/>
      <c r="N20" s="400"/>
      <c r="O20" s="400"/>
      <c r="P20" s="400"/>
      <c r="Q20" s="400"/>
    </row>
    <row r="21" spans="2:18">
      <c r="B21" s="393" t="s">
        <v>697</v>
      </c>
      <c r="C21" s="394" t="s">
        <v>696</v>
      </c>
      <c r="D21" s="401"/>
      <c r="E21" s="401"/>
      <c r="F21" s="401"/>
      <c r="G21" s="401"/>
      <c r="H21" s="401"/>
      <c r="I21" s="402"/>
      <c r="J21" s="399"/>
      <c r="K21" s="400"/>
      <c r="L21" s="400"/>
      <c r="M21" s="400"/>
      <c r="N21" s="400"/>
      <c r="O21" s="400"/>
      <c r="P21" s="400"/>
      <c r="Q21" s="400"/>
    </row>
    <row r="22" spans="2:18" ht="14.45">
      <c r="B22" s="393"/>
      <c r="C22" s="394" t="s">
        <v>156</v>
      </c>
      <c r="D22" s="395">
        <f>SUM(E22:I22)</f>
        <v>0</v>
      </c>
      <c r="E22" s="397"/>
      <c r="F22" s="397"/>
      <c r="G22" s="397"/>
      <c r="H22" s="397"/>
      <c r="I22" s="398"/>
      <c r="J22" s="399"/>
      <c r="K22" s="400"/>
      <c r="L22" s="400"/>
      <c r="M22" s="400"/>
      <c r="N22" s="400"/>
      <c r="O22" s="400"/>
      <c r="P22" s="400"/>
      <c r="Q22" s="400"/>
    </row>
    <row r="23" spans="2:18">
      <c r="B23" s="378" t="s">
        <v>698</v>
      </c>
      <c r="C23" s="379" t="s">
        <v>560</v>
      </c>
      <c r="D23" s="379"/>
      <c r="E23" s="403">
        <v>20</v>
      </c>
      <c r="F23" s="403">
        <v>20</v>
      </c>
      <c r="G23" s="404"/>
      <c r="H23" s="404"/>
      <c r="I23" s="405"/>
      <c r="J23" s="399"/>
      <c r="K23" s="400"/>
      <c r="L23" s="400"/>
      <c r="M23" s="400"/>
      <c r="N23" s="400"/>
      <c r="O23" s="400"/>
      <c r="P23" s="400"/>
      <c r="Q23" s="400"/>
    </row>
    <row r="24" spans="2:18">
      <c r="B24" s="378" t="s">
        <v>699</v>
      </c>
      <c r="C24" s="379" t="s">
        <v>686</v>
      </c>
      <c r="D24" s="379"/>
      <c r="E24" s="406">
        <v>1.4999999999999999E-2</v>
      </c>
      <c r="F24" s="406">
        <v>1.4999999999999999E-2</v>
      </c>
      <c r="G24" s="407"/>
      <c r="H24" s="407"/>
      <c r="I24" s="408"/>
      <c r="J24" s="399"/>
      <c r="K24" s="400"/>
      <c r="L24" s="400"/>
      <c r="M24" s="400"/>
      <c r="N24" s="400"/>
      <c r="O24" s="400"/>
      <c r="P24" s="400"/>
      <c r="Q24" s="400"/>
    </row>
    <row r="25" spans="2:18">
      <c r="B25" s="378" t="s">
        <v>700</v>
      </c>
      <c r="C25" s="379" t="s">
        <v>686</v>
      </c>
      <c r="D25" s="379"/>
      <c r="E25" s="403">
        <v>30</v>
      </c>
      <c r="F25" s="403">
        <v>30</v>
      </c>
      <c r="G25" s="404"/>
      <c r="H25" s="404"/>
      <c r="I25" s="405"/>
      <c r="J25" s="399"/>
      <c r="K25" s="400"/>
      <c r="L25" s="400"/>
      <c r="M25" s="400"/>
      <c r="N25" s="400"/>
      <c r="O25" s="400"/>
      <c r="P25" s="400"/>
      <c r="Q25" s="400"/>
    </row>
    <row r="26" spans="2:18">
      <c r="B26" s="409" t="s">
        <v>701</v>
      </c>
      <c r="C26" s="410" t="s">
        <v>170</v>
      </c>
      <c r="D26" s="390">
        <f>SUM(E26:I26)</f>
        <v>202019.51030700054</v>
      </c>
      <c r="E26" s="411">
        <f>E17*MAX(E24,0.0000001)/(1-(1+MAX(E24,0.0000001))^(-E23))</f>
        <v>83291.402300487476</v>
      </c>
      <c r="F26" s="411">
        <f>F17*MAX(F24,0.0000001)/(1-(1+MAX(F24,0.0000001))^(-F23))</f>
        <v>118728.10800651305</v>
      </c>
      <c r="G26" s="411"/>
      <c r="H26" s="411"/>
      <c r="I26" s="412"/>
      <c r="J26" s="399"/>
      <c r="K26" s="400"/>
      <c r="L26" s="400"/>
      <c r="M26" s="400"/>
      <c r="N26" s="400"/>
      <c r="O26" s="400"/>
      <c r="P26" s="400"/>
      <c r="Q26" s="400"/>
    </row>
    <row r="28" spans="2:18">
      <c r="E28" s="413"/>
      <c r="F28" s="413"/>
      <c r="G28" s="413"/>
      <c r="H28" s="413"/>
      <c r="I28" s="413"/>
      <c r="J28" s="413"/>
      <c r="K28" s="413"/>
      <c r="L28" s="413"/>
      <c r="M28" s="413"/>
      <c r="N28" s="413"/>
      <c r="O28" s="413"/>
      <c r="P28" s="413"/>
      <c r="Q28" s="413"/>
    </row>
    <row r="29" spans="2:18" s="367" customFormat="1" ht="14.45" thickBot="1">
      <c r="B29" s="367" t="s">
        <v>702</v>
      </c>
    </row>
    <row r="30" spans="2:18" ht="14.45" thickBot="1">
      <c r="B30" s="414" t="s">
        <v>703</v>
      </c>
      <c r="C30" s="415" t="s">
        <v>110</v>
      </c>
      <c r="D30" s="416">
        <v>290000</v>
      </c>
      <c r="E30" s="413"/>
      <c r="F30" s="413"/>
      <c r="G30" s="413"/>
      <c r="H30" s="413"/>
      <c r="I30" s="413"/>
      <c r="J30" s="413"/>
      <c r="K30" s="413"/>
      <c r="L30" s="413"/>
      <c r="M30" s="413"/>
      <c r="N30" s="413"/>
      <c r="O30" s="413"/>
      <c r="P30" s="413"/>
      <c r="Q30" s="413"/>
    </row>
    <row r="31" spans="2:18" ht="14.45" thickBot="1">
      <c r="B31" s="413"/>
      <c r="C31" s="413"/>
      <c r="D31" s="413"/>
      <c r="E31" s="413"/>
      <c r="F31" s="413"/>
      <c r="G31" s="413"/>
      <c r="H31" s="413"/>
      <c r="I31" s="413"/>
      <c r="J31" s="413"/>
      <c r="K31" s="413"/>
      <c r="L31" s="413"/>
      <c r="M31" s="413"/>
      <c r="N31" s="413"/>
      <c r="O31" s="413"/>
      <c r="P31" s="413"/>
      <c r="Q31" s="413"/>
    </row>
    <row r="32" spans="2:18">
      <c r="B32" s="368"/>
      <c r="C32" s="371"/>
      <c r="D32" s="371"/>
      <c r="E32" s="375" t="s">
        <v>221</v>
      </c>
      <c r="F32" s="375" t="s">
        <v>584</v>
      </c>
      <c r="G32" s="413"/>
      <c r="H32" s="413"/>
      <c r="I32" s="413"/>
      <c r="J32" s="388"/>
      <c r="K32" s="388"/>
      <c r="L32" s="388"/>
      <c r="M32" s="388"/>
      <c r="N32" s="388"/>
      <c r="O32" s="388"/>
      <c r="P32" s="388"/>
      <c r="Q32" s="388"/>
      <c r="R32" s="389"/>
    </row>
    <row r="33" spans="1:24" ht="14.45" thickBot="1">
      <c r="B33" s="417" t="s">
        <v>704</v>
      </c>
      <c r="C33" s="418" t="s">
        <v>170</v>
      </c>
      <c r="D33" s="418"/>
      <c r="E33" s="419" t="s">
        <v>705</v>
      </c>
      <c r="F33" s="419" t="s">
        <v>705</v>
      </c>
      <c r="G33" s="413"/>
      <c r="H33" s="413"/>
      <c r="I33" s="413"/>
      <c r="J33" s="420"/>
      <c r="K33" s="420"/>
      <c r="L33" s="420"/>
      <c r="M33" s="420"/>
      <c r="N33" s="420"/>
      <c r="O33" s="420"/>
      <c r="P33" s="420"/>
      <c r="Q33" s="420"/>
    </row>
    <row r="34" spans="1:24" ht="14.45" thickBot="1">
      <c r="B34" s="421" t="s">
        <v>706</v>
      </c>
      <c r="C34" s="422" t="s">
        <v>170</v>
      </c>
      <c r="D34" s="422"/>
      <c r="E34" s="423">
        <f>SUM(E33)</f>
        <v>0</v>
      </c>
      <c r="F34" s="423">
        <f>SUM(F33)</f>
        <v>0</v>
      </c>
      <c r="G34" s="423">
        <f>SUM(G33)</f>
        <v>0</v>
      </c>
      <c r="H34" s="423"/>
      <c r="I34" s="424"/>
      <c r="J34" s="425"/>
      <c r="K34" s="425"/>
      <c r="L34" s="425"/>
      <c r="M34" s="425"/>
      <c r="N34" s="425"/>
      <c r="O34" s="425"/>
      <c r="P34" s="425"/>
      <c r="Q34" s="425"/>
    </row>
    <row r="35" spans="1:24">
      <c r="P35" s="10" t="s">
        <v>707</v>
      </c>
    </row>
    <row r="36" spans="1:24">
      <c r="A36" s="367"/>
      <c r="B36" s="367" t="s">
        <v>708</v>
      </c>
      <c r="C36" s="367"/>
      <c r="D36" s="367"/>
      <c r="E36" s="367"/>
      <c r="F36" s="367"/>
      <c r="G36" s="367"/>
      <c r="H36" s="367"/>
      <c r="I36" s="367"/>
      <c r="J36" s="367"/>
      <c r="K36" s="367"/>
      <c r="L36" s="367"/>
      <c r="M36" s="367"/>
      <c r="N36" s="367"/>
      <c r="O36" s="367"/>
    </row>
    <row r="37" spans="1:24">
      <c r="E37" s="375" t="s">
        <v>221</v>
      </c>
      <c r="F37" s="375" t="s">
        <v>584</v>
      </c>
    </row>
    <row r="38" spans="1:24" ht="14.45" thickBot="1">
      <c r="E38" s="419">
        <f>[1]Reuse_LCI!L139+[1]Reuse_LCI!L140+[1]Reuse_LCI!L141</f>
        <v>76595.238095238106</v>
      </c>
      <c r="F38" s="419">
        <f>[1]Reuse_LCI!L145+[1]Reuse_LCI!L146+[1]Reuse_LCI!L147</f>
        <v>76595.238095238106</v>
      </c>
    </row>
    <row r="40" spans="1:24" s="367" customFormat="1" ht="14.45" thickBot="1">
      <c r="B40" s="367" t="s">
        <v>709</v>
      </c>
      <c r="E40" s="426"/>
    </row>
    <row r="41" spans="1:24">
      <c r="B41" s="476" t="s">
        <v>710</v>
      </c>
      <c r="C41" s="427" t="s">
        <v>711</v>
      </c>
      <c r="D41" s="427"/>
      <c r="F41" s="427"/>
      <c r="G41" s="428"/>
      <c r="H41" s="427"/>
      <c r="I41" s="427" t="s">
        <v>704</v>
      </c>
      <c r="J41" s="429"/>
      <c r="K41" s="428"/>
      <c r="L41" s="427"/>
      <c r="M41" s="427" t="s">
        <v>712</v>
      </c>
      <c r="N41" s="429"/>
      <c r="O41" s="427" t="s">
        <v>713</v>
      </c>
      <c r="P41" s="428"/>
      <c r="Q41" s="427"/>
      <c r="R41" s="427" t="s">
        <v>714</v>
      </c>
      <c r="S41" s="427"/>
      <c r="T41" s="427"/>
    </row>
    <row r="42" spans="1:24">
      <c r="B42" s="477"/>
      <c r="C42" s="430"/>
      <c r="D42" s="431"/>
      <c r="E42" s="431"/>
      <c r="F42" s="431"/>
      <c r="G42" s="430"/>
      <c r="H42" s="431"/>
      <c r="I42" s="431"/>
      <c r="J42" s="432"/>
      <c r="K42" s="430"/>
      <c r="L42" s="431"/>
      <c r="M42" s="431"/>
      <c r="N42" s="432"/>
      <c r="O42" s="431"/>
      <c r="P42" s="430"/>
      <c r="Q42" s="431"/>
      <c r="R42" s="431"/>
      <c r="S42" s="431"/>
      <c r="T42" s="431"/>
    </row>
    <row r="43" spans="1:24" ht="51" customHeight="1" thickBot="1">
      <c r="B43" s="478"/>
      <c r="C43" s="375" t="s">
        <v>221</v>
      </c>
      <c r="D43" s="375" t="s">
        <v>584</v>
      </c>
      <c r="E43" s="375"/>
      <c r="F43" s="433" t="s">
        <v>687</v>
      </c>
      <c r="G43" s="375" t="s">
        <v>221</v>
      </c>
      <c r="H43" s="375" t="s">
        <v>584</v>
      </c>
      <c r="I43" s="375"/>
      <c r="J43" s="434" t="s">
        <v>687</v>
      </c>
      <c r="K43" s="375" t="s">
        <v>221</v>
      </c>
      <c r="L43" s="375" t="s">
        <v>584</v>
      </c>
      <c r="M43" s="375"/>
      <c r="N43" s="434" t="s">
        <v>687</v>
      </c>
      <c r="O43" s="433" t="s">
        <v>715</v>
      </c>
      <c r="P43" s="375" t="s">
        <v>221</v>
      </c>
      <c r="Q43" s="375" t="s">
        <v>584</v>
      </c>
      <c r="R43" s="375"/>
      <c r="S43" s="433" t="s">
        <v>687</v>
      </c>
      <c r="T43" s="433"/>
    </row>
    <row r="44" spans="1:24" ht="11.25" customHeight="1" thickBot="1">
      <c r="A44" s="366">
        <v>2025</v>
      </c>
      <c r="B44" s="435">
        <v>0</v>
      </c>
      <c r="C44" s="436"/>
      <c r="D44" s="388"/>
      <c r="E44" s="388"/>
      <c r="F44" s="388"/>
      <c r="G44" s="436"/>
      <c r="H44" s="388"/>
      <c r="I44" s="388"/>
      <c r="J44" s="437"/>
      <c r="K44" s="436"/>
      <c r="L44" s="388"/>
      <c r="M44" s="388"/>
      <c r="N44" s="437"/>
      <c r="O44" s="388"/>
      <c r="P44" s="436"/>
      <c r="Q44" s="388"/>
      <c r="R44" s="388"/>
      <c r="S44" s="388"/>
      <c r="T44" s="388"/>
    </row>
    <row r="45" spans="1:24">
      <c r="A45" s="366">
        <v>2026</v>
      </c>
      <c r="B45" s="438">
        <v>1</v>
      </c>
      <c r="C45" s="439">
        <f>$E$26</f>
        <v>83291.402300487476</v>
      </c>
      <c r="D45" s="440">
        <f>F26</f>
        <v>118728.10800651305</v>
      </c>
      <c r="E45" s="440"/>
      <c r="F45" s="441">
        <f>SUM(C45:E45)</f>
        <v>202019.51030700054</v>
      </c>
      <c r="G45" s="439">
        <f>'[1]Eau &amp; Energie'!I8+'[1]Eau &amp; Energie'!J8</f>
        <v>-12280.536799999994</v>
      </c>
      <c r="H45" s="440">
        <f>[1]Reuse_LCI!$L$67+'[1]Eau &amp; Energie'!K8+'[1]Eau &amp; Energie'!L8</f>
        <v>45079.990279999998</v>
      </c>
      <c r="I45" s="440"/>
      <c r="J45" s="442">
        <f>SUM(G45:I45)</f>
        <v>32799.453480000004</v>
      </c>
      <c r="K45" s="443">
        <v>0</v>
      </c>
      <c r="L45" s="444">
        <v>0</v>
      </c>
      <c r="M45" s="440"/>
      <c r="N45" s="442">
        <f>SUM(K45:M45)</f>
        <v>0</v>
      </c>
      <c r="O45" s="425">
        <f>$D$30</f>
        <v>290000</v>
      </c>
      <c r="P45" s="445">
        <f>(SUM(C$45:C45)+SUM(G$45:G45)+SUM(K$45:K45))/SUM($O$45:$O45)</f>
        <v>0.24486505344995682</v>
      </c>
      <c r="Q45" s="446">
        <f>(SUM(D$45:D45)+SUM(H$45:H45)+SUM(L$45:L45))/SUM($O$45:$O45)</f>
        <v>0.56485551133280365</v>
      </c>
      <c r="R45" s="446">
        <f>(SUM(E$45:E45)+SUM(I$45:I45)+SUM(M$45:M45))/SUM($O$45:$O45)</f>
        <v>0</v>
      </c>
      <c r="S45" s="446">
        <f>SUM(P45:R45)</f>
        <v>0.80972056478276044</v>
      </c>
      <c r="T45" s="446"/>
      <c r="X45" s="446"/>
    </row>
    <row r="46" spans="1:24">
      <c r="A46" s="366">
        <v>2027</v>
      </c>
      <c r="B46" s="438">
        <v>2</v>
      </c>
      <c r="C46" s="447">
        <f>$E$26</f>
        <v>83291.402300487476</v>
      </c>
      <c r="D46" s="448">
        <f>$F$26</f>
        <v>118728.10800651305</v>
      </c>
      <c r="E46" s="448"/>
      <c r="F46" s="449">
        <f>SUM(C46:E46)</f>
        <v>202019.51030700054</v>
      </c>
      <c r="G46" s="447">
        <f>'[1]Eau &amp; Energie'!I9+'[1]Eau &amp; Energie'!J9</f>
        <v>-12722.636124800003</v>
      </c>
      <c r="H46" s="448">
        <f>[1]Reuse_LCI!$L$67+'[1]Eau &amp; Energie'!K9+'[1]Eau &amp; Energie'!L9</f>
        <v>45802.86993008</v>
      </c>
      <c r="I46" s="448"/>
      <c r="J46" s="450">
        <f>SUM(G46:I46)</f>
        <v>33080.233805279997</v>
      </c>
      <c r="K46" s="451">
        <v>0</v>
      </c>
      <c r="L46" s="425">
        <v>0</v>
      </c>
      <c r="M46" s="448"/>
      <c r="N46" s="450">
        <f>SUM(K46:M46)</f>
        <v>0</v>
      </c>
      <c r="O46" s="425">
        <f>O45</f>
        <v>290000</v>
      </c>
      <c r="P46" s="445">
        <f>(SUM(C$45:C46)+SUM(G$45:G46)+SUM(K$45:K46))/SUM($O$45:$O46)</f>
        <v>0.24410281323478442</v>
      </c>
      <c r="Q46" s="446">
        <f>(SUM(D$45:D46)+SUM(H$45:H46)+SUM(L$45:L46))/SUM($O$45:$O46)</f>
        <v>0.56610185555707948</v>
      </c>
      <c r="R46" s="446">
        <f>(SUM(E$45:E46)+SUM(I$45:I46)+SUM(M$45:M46))/SUM($O$45:$O46)</f>
        <v>0</v>
      </c>
      <c r="S46" s="446">
        <f>SUM(P46:R46)</f>
        <v>0.81020466879186392</v>
      </c>
      <c r="T46" s="452"/>
      <c r="X46" s="452"/>
    </row>
    <row r="47" spans="1:24">
      <c r="A47" s="366">
        <v>2028</v>
      </c>
      <c r="B47" s="438">
        <v>3</v>
      </c>
      <c r="C47" s="447">
        <f>$E$26</f>
        <v>83291.402300487476</v>
      </c>
      <c r="D47" s="448">
        <f>$F$26</f>
        <v>118728.10800651305</v>
      </c>
      <c r="E47" s="448"/>
      <c r="F47" s="449">
        <f>SUM(C47:E47)</f>
        <v>202019.51030700054</v>
      </c>
      <c r="G47" s="447">
        <f>'[1]Eau &amp; Energie'!I10+'[1]Eau &amp; Energie'!J10</f>
        <v>-13180.651025292791</v>
      </c>
      <c r="H47" s="448">
        <f>[1]Reuse_LCI!$L$67+'[1]Eau &amp; Energie'!K10+'[1]Eau &amp; Energie'!L10</f>
        <v>46551.77324756288</v>
      </c>
      <c r="I47" s="448"/>
      <c r="J47" s="450">
        <f>SUM(G47:I47)</f>
        <v>33371.122222270089</v>
      </c>
      <c r="K47" s="451">
        <v>0</v>
      </c>
      <c r="L47" s="425">
        <v>0</v>
      </c>
      <c r="M47" s="448"/>
      <c r="N47" s="450">
        <f>SUM(K47:M47)</f>
        <v>0</v>
      </c>
      <c r="O47" s="425">
        <f>O46</f>
        <v>290000</v>
      </c>
      <c r="P47" s="445">
        <f>(SUM(C$45:C47)+SUM(G$45:G47)+SUM(K$45:K47))/SUM($O$45:$O47)</f>
        <v>0.24332227925444785</v>
      </c>
      <c r="Q47" s="446">
        <f>(SUM(D$45:D47)+SUM(H$45:H47)+SUM(L$45:L47))/SUM($O$45:$O47)</f>
        <v>0.56737811204273791</v>
      </c>
      <c r="R47" s="446">
        <f>(SUM(E$45:E47)+SUM(I$45:I47)+SUM(M$45:M47))/SUM($O$45:$O47)</f>
        <v>0</v>
      </c>
      <c r="S47" s="446">
        <f>SUM(P47:R47)</f>
        <v>0.81070039129718574</v>
      </c>
      <c r="T47" s="452"/>
      <c r="X47" s="452"/>
    </row>
    <row r="48" spans="1:24">
      <c r="A48" s="366">
        <v>2029</v>
      </c>
      <c r="B48" s="438">
        <v>4</v>
      </c>
      <c r="C48" s="447">
        <f>$E$26</f>
        <v>83291.402300487476</v>
      </c>
      <c r="D48" s="448">
        <f>$F$26</f>
        <v>118728.10800651305</v>
      </c>
      <c r="E48" s="448"/>
      <c r="F48" s="449">
        <f>SUM(C48:E48)</f>
        <v>202019.51030700054</v>
      </c>
      <c r="G48" s="447">
        <f>'[1]Eau &amp; Energie'!I11+'[1]Eau &amp; Energie'!J11</f>
        <v>-13655.154462203347</v>
      </c>
      <c r="H48" s="448">
        <f>[1]Reuse_LCI!$L$67+'[1]Eau &amp; Energie'!K11+'[1]Eau &amp; Energie'!L11</f>
        <v>47327.637084475144</v>
      </c>
      <c r="I48" s="448"/>
      <c r="J48" s="450">
        <f>SUM(G48:I48)</f>
        <v>33672.482622271797</v>
      </c>
      <c r="K48" s="451">
        <v>0</v>
      </c>
      <c r="L48" s="425">
        <v>0</v>
      </c>
      <c r="M48" s="448"/>
      <c r="N48" s="450">
        <f>SUM(K48:M48)</f>
        <v>0</v>
      </c>
      <c r="O48" s="425">
        <f>O47</f>
        <v>290000</v>
      </c>
      <c r="P48" s="445">
        <f>(SUM(C$45:C48)+SUM(G$45:G48)+SUM(K$45:K48))/SUM($O$45:$O48)</f>
        <v>0.2425229575772877</v>
      </c>
      <c r="Q48" s="446">
        <f>(SUM(D$45:D48)+SUM(H$45:H48)+SUM(L$45:L48))/SUM($O$45:$O48)</f>
        <v>0.56868508842083632</v>
      </c>
      <c r="R48" s="446">
        <f>(SUM(E$45:E48)+SUM(I$45:I48)+SUM(M$45:M48))/SUM($O$45:$O48)</f>
        <v>0</v>
      </c>
      <c r="S48" s="446">
        <f>SUM(P48:R48)</f>
        <v>0.81120804599812402</v>
      </c>
      <c r="T48" s="452"/>
      <c r="X48" s="452"/>
    </row>
    <row r="49" spans="1:24">
      <c r="A49" s="366">
        <v>2030</v>
      </c>
      <c r="B49" s="438">
        <v>5</v>
      </c>
      <c r="C49" s="447">
        <f>$E$26</f>
        <v>83291.402300487476</v>
      </c>
      <c r="D49" s="448">
        <f>$F$26</f>
        <v>118728.10800651305</v>
      </c>
      <c r="E49" s="448"/>
      <c r="F49" s="449">
        <f>SUM(C49:E49)</f>
        <v>202019.51030700054</v>
      </c>
      <c r="G49" s="447">
        <f>'[1]Eau &amp; Energie'!I12+'[1]Eau &amp; Energie'!J12</f>
        <v>-14146.740022842656</v>
      </c>
      <c r="H49" s="448">
        <f>[1]Reuse_LCI!$L$67+'[1]Eau &amp; Energie'!K12+'[1]Eau &amp; Energie'!L12</f>
        <v>48131.432019516244</v>
      </c>
      <c r="I49" s="448"/>
      <c r="J49" s="450">
        <f>SUM(G49:I49)</f>
        <v>33984.691996673588</v>
      </c>
      <c r="K49" s="451">
        <v>0</v>
      </c>
      <c r="L49" s="425">
        <v>0</v>
      </c>
      <c r="M49" s="448"/>
      <c r="N49" s="450">
        <f>SUM(K49:M49)</f>
        <v>0</v>
      </c>
      <c r="O49" s="425">
        <f>O48</f>
        <v>290000</v>
      </c>
      <c r="P49" s="445">
        <f>(SUM(C$45:C49)+SUM(G$45:G49)+SUM(K$45:K49))/SUM($O$45:$O49)</f>
        <v>0.24170434004641284</v>
      </c>
      <c r="Q49" s="446">
        <f>(SUM(D$45:D49)+SUM(H$45:H49)+SUM(L$45:L49))/SUM($O$45:$O49)</f>
        <v>0.57002361558220649</v>
      </c>
      <c r="R49" s="446">
        <f>(SUM(E$45:E49)+SUM(I$45:I49)+SUM(M$45:M49))/SUM($O$45:$O49)</f>
        <v>0</v>
      </c>
      <c r="S49" s="446">
        <f>SUM(P49:R49)</f>
        <v>0.81172795562861932</v>
      </c>
      <c r="T49" s="452">
        <f>S49</f>
        <v>0.81172795562861932</v>
      </c>
      <c r="U49" s="366" t="str">
        <f>TEXT(T49,"0"&amp;MID(1/3,2,1)&amp;"00")&amp;" €/m"&amp;CHAR(179)</f>
        <v>0.81 €/m³</v>
      </c>
      <c r="X49" s="452"/>
    </row>
    <row r="50" spans="1:24">
      <c r="A50" s="366">
        <v>2031</v>
      </c>
      <c r="B50" s="438">
        <v>6</v>
      </c>
      <c r="C50" s="447">
        <f>$E$26</f>
        <v>83291.402300487476</v>
      </c>
      <c r="D50" s="448">
        <f>$F$26</f>
        <v>118728.10800651305</v>
      </c>
      <c r="E50" s="448"/>
      <c r="F50" s="449">
        <f>SUM(C50:E50)</f>
        <v>202019.51030700054</v>
      </c>
      <c r="G50" s="447">
        <f>'[1]Eau &amp; Energie'!I13+'[1]Eau &amp; Energie'!J13</f>
        <v>-14656.022663664997</v>
      </c>
      <c r="H50" s="448">
        <f>[1]Reuse_LCI!$L$67+'[1]Eau &amp; Energie'!K13+'[1]Eau &amp; Energie'!L13</f>
        <v>48964.163572218829</v>
      </c>
      <c r="I50" s="448"/>
      <c r="J50" s="450">
        <f>SUM(G50:I50)</f>
        <v>34308.140908553833</v>
      </c>
      <c r="K50" s="451">
        <v>0</v>
      </c>
      <c r="L50" s="425">
        <v>0</v>
      </c>
      <c r="M50" s="448"/>
      <c r="N50" s="450">
        <f>SUM(K50:M50)</f>
        <v>0</v>
      </c>
      <c r="O50" s="425">
        <f>O49</f>
        <v>290000</v>
      </c>
      <c r="P50" s="445">
        <f>(SUM(C$45:C50)+SUM(G$45:G50)+SUM(K$45:K50))/SUM($O$45:$O50)</f>
        <v>0.24086590385294315</v>
      </c>
      <c r="Q50" s="446">
        <f>(SUM(D$45:D50)+SUM(H$45:H50)+SUM(L$45:L50))/SUM($O$45:$O50)</f>
        <v>0.57139454837524795</v>
      </c>
      <c r="R50" s="446">
        <f>(SUM(E$45:E50)+SUM(I$45:I50)+SUM(M$45:M50))/SUM($O$45:$O50)</f>
        <v>0</v>
      </c>
      <c r="S50" s="446">
        <f>SUM(P50:R50)</f>
        <v>0.8122604522281911</v>
      </c>
      <c r="T50" s="452"/>
      <c r="X50" s="452"/>
    </row>
    <row r="51" spans="1:24">
      <c r="A51" s="366">
        <v>2032</v>
      </c>
      <c r="B51" s="438">
        <v>7</v>
      </c>
      <c r="C51" s="447">
        <f>$E$26</f>
        <v>83291.402300487476</v>
      </c>
      <c r="D51" s="448">
        <f>$F$26</f>
        <v>118728.10800651305</v>
      </c>
      <c r="E51" s="448"/>
      <c r="F51" s="449">
        <f>SUM(C51:E51)</f>
        <v>202019.51030700054</v>
      </c>
      <c r="G51" s="447">
        <f>'[1]Eau &amp; Energie'!I14+'[1]Eau &amp; Energie'!J14</f>
        <v>-15183.639479556929</v>
      </c>
      <c r="H51" s="448">
        <f>[1]Reuse_LCI!$L$67+'[1]Eau &amp; Energie'!K14+'[1]Eau &amp; Energie'!L14</f>
        <v>49826.873460818708</v>
      </c>
      <c r="I51" s="448"/>
      <c r="J51" s="450">
        <f>SUM(G51:I51)</f>
        <v>34643.233981261779</v>
      </c>
      <c r="K51" s="451">
        <v>0</v>
      </c>
      <c r="L51" s="425">
        <v>0</v>
      </c>
      <c r="M51" s="448"/>
      <c r="N51" s="450">
        <f>SUM(K51:M51)</f>
        <v>0</v>
      </c>
      <c r="O51" s="425">
        <f>O50</f>
        <v>290000</v>
      </c>
      <c r="P51" s="445">
        <f>(SUM(C$45:C51)+SUM(G$45:G51)+SUM(K$45:K51))/SUM($O$45:$O51)</f>
        <v>0.24000711109608455</v>
      </c>
      <c r="Q51" s="446">
        <f>(SUM(D$45:D51)+SUM(H$45:H51)+SUM(L$45:L51))/SUM($O$45:$O51)</f>
        <v>0.57279876632525284</v>
      </c>
      <c r="R51" s="446">
        <f>(SUM(E$45:E51)+SUM(I$45:I51)+SUM(M$45:M51))/SUM($O$45:$O51)</f>
        <v>0</v>
      </c>
      <c r="S51" s="446">
        <f>SUM(P51:R51)</f>
        <v>0.81280587742133736</v>
      </c>
      <c r="T51" s="452"/>
      <c r="X51" s="452"/>
    </row>
    <row r="52" spans="1:24">
      <c r="A52" s="366">
        <v>2033</v>
      </c>
      <c r="B52" s="438">
        <v>8</v>
      </c>
      <c r="C52" s="447">
        <f>$E$26</f>
        <v>83291.402300487476</v>
      </c>
      <c r="D52" s="448">
        <f>$F$26</f>
        <v>118728.10800651305</v>
      </c>
      <c r="E52" s="448"/>
      <c r="F52" s="449">
        <f>SUM(C52:E52)</f>
        <v>202019.51030700054</v>
      </c>
      <c r="G52" s="447">
        <f>'[1]Eau &amp; Energie'!I15+'[1]Eau &amp; Energie'!J15</f>
        <v>-15730.250500820985</v>
      </c>
      <c r="H52" s="448">
        <f>[1]Reuse_LCI!$L$67+'[1]Eau &amp; Energie'!K15+'[1]Eau &amp; Energie'!L15</f>
        <v>50720.640905408181</v>
      </c>
      <c r="I52" s="448"/>
      <c r="J52" s="450">
        <f>SUM(G52:I52)</f>
        <v>34990.390404587197</v>
      </c>
      <c r="K52" s="451">
        <v>0</v>
      </c>
      <c r="L52" s="425">
        <v>0</v>
      </c>
      <c r="M52" s="448"/>
      <c r="N52" s="450">
        <f>SUM(K52:M52)</f>
        <v>0</v>
      </c>
      <c r="O52" s="425">
        <f>O51</f>
        <v>290000</v>
      </c>
      <c r="P52" s="445">
        <f>(SUM(C$45:C52)+SUM(G$45:G52)+SUM(K$45:K52))/SUM($O$45:$O52)</f>
        <v>0.23912740832961993</v>
      </c>
      <c r="Q52" s="446">
        <f>(SUM(D$45:D52)+SUM(H$45:H52)+SUM(L$45:L52))/SUM($O$45:$O52)</f>
        <v>0.57423717437594168</v>
      </c>
      <c r="R52" s="446">
        <f>(SUM(E$45:E52)+SUM(I$45:I52)+SUM(M$45:M52))/SUM($O$45:$O52)</f>
        <v>0</v>
      </c>
      <c r="S52" s="446">
        <f>SUM(P52:R52)</f>
        <v>0.81336458270556156</v>
      </c>
      <c r="T52" s="452"/>
      <c r="X52" s="452"/>
    </row>
    <row r="53" spans="1:24">
      <c r="A53" s="366">
        <v>2034</v>
      </c>
      <c r="B53" s="438">
        <v>9</v>
      </c>
      <c r="C53" s="447">
        <f>$E$26</f>
        <v>83291.402300487476</v>
      </c>
      <c r="D53" s="448">
        <f>$F$26</f>
        <v>118728.10800651305</v>
      </c>
      <c r="E53" s="448"/>
      <c r="F53" s="449">
        <f>SUM(C53:E53)</f>
        <v>202019.51030700054</v>
      </c>
      <c r="G53" s="447">
        <f>'[1]Eau &amp; Energie'!I16+'[1]Eau &amp; Energie'!J16</f>
        <v>-16296.53951885055</v>
      </c>
      <c r="H53" s="448">
        <f>[1]Reuse_LCI!$L$67+'[1]Eau &amp; Energie'!K16+'[1]Eau &amp; Energie'!L16</f>
        <v>51646.583978002876</v>
      </c>
      <c r="I53" s="448"/>
      <c r="J53" s="450">
        <f>SUM(G53:I53)</f>
        <v>35350.044459152326</v>
      </c>
      <c r="K53" s="451">
        <v>0</v>
      </c>
      <c r="L53" s="425">
        <v>0</v>
      </c>
      <c r="M53" s="448"/>
      <c r="N53" s="450">
        <f>SUM(K53:M53)</f>
        <v>0</v>
      </c>
      <c r="O53" s="425">
        <f>O52</f>
        <v>290000</v>
      </c>
      <c r="P53" s="445">
        <f>(SUM(C$45:C53)+SUM(G$45:G53)+SUM(K$45:K53))/SUM($O$45:$O53)</f>
        <v>0.23822622609438893</v>
      </c>
      <c r="Q53" s="446">
        <f>(SUM(D$45:D53)+SUM(H$45:H53)+SUM(L$45:L53))/SUM($O$45:$O53)</f>
        <v>0.5757107036539082</v>
      </c>
      <c r="R53" s="446">
        <f>(SUM(E$45:E53)+SUM(I$45:I53)+SUM(M$45:M53))/SUM($O$45:$O53)</f>
        <v>0</v>
      </c>
      <c r="S53" s="446">
        <f>SUM(P53:R53)</f>
        <v>0.81393692974829712</v>
      </c>
      <c r="T53" s="452"/>
      <c r="X53" s="452"/>
    </row>
    <row r="54" spans="1:24">
      <c r="A54" s="366">
        <v>2035</v>
      </c>
      <c r="B54" s="438">
        <v>10</v>
      </c>
      <c r="C54" s="447">
        <f>$E$26</f>
        <v>83291.402300487476</v>
      </c>
      <c r="D54" s="448">
        <f>$F$26</f>
        <v>118728.10800651305</v>
      </c>
      <c r="E54" s="448"/>
      <c r="F54" s="449">
        <f>SUM(C54:E54)</f>
        <v>202019.51030700054</v>
      </c>
      <c r="G54" s="447">
        <f>'[1]Eau &amp; Energie'!I17+'[1]Eau &amp; Energie'!J17</f>
        <v>-16883.214941529164</v>
      </c>
      <c r="H54" s="448">
        <f>[1]Reuse_LCI!$L$67+'[1]Eau &amp; Energie'!K17+'[1]Eau &amp; Energie'!L17</f>
        <v>52605.861001210978</v>
      </c>
      <c r="I54" s="448"/>
      <c r="J54" s="450">
        <f>SUM(G54:I54)</f>
        <v>35722.646059681814</v>
      </c>
      <c r="K54" s="451">
        <v>0</v>
      </c>
      <c r="L54" s="425">
        <v>0</v>
      </c>
      <c r="M54" s="448"/>
      <c r="N54" s="450">
        <f>SUM(K54:M54)</f>
        <v>0</v>
      </c>
      <c r="O54" s="425">
        <f>O53</f>
        <v>290000</v>
      </c>
      <c r="P54" s="445">
        <f>(SUM(C$45:C54)+SUM(G$45:G54)+SUM(K$45:K54))/SUM($O$45:$O54)</f>
        <v>0.23730297843631501</v>
      </c>
      <c r="Q54" s="446">
        <f>(SUM(D$45:D54)+SUM(H$45:H54)+SUM(L$45:L54))/SUM($O$45:$O54)</f>
        <v>0.57722031225669812</v>
      </c>
      <c r="R54" s="446">
        <f>(SUM(E$45:E54)+SUM(I$45:I54)+SUM(M$45:M54))/SUM($O$45:$O54)</f>
        <v>0</v>
      </c>
      <c r="S54" s="446">
        <f>SUM(P54:R54)</f>
        <v>0.8145232906930131</v>
      </c>
      <c r="T54" s="452">
        <f>S54</f>
        <v>0.8145232906930131</v>
      </c>
      <c r="U54" s="366" t="str">
        <f>TEXT(T54,"0"&amp;MID(1/3,2,1)&amp;"00")&amp;" €/m"&amp;CHAR(179)</f>
        <v>0.81 €/m³</v>
      </c>
      <c r="X54" s="452"/>
    </row>
    <row r="55" spans="1:24">
      <c r="A55" s="366">
        <v>2036</v>
      </c>
      <c r="B55" s="438">
        <v>11</v>
      </c>
      <c r="C55" s="447">
        <f>$E$26</f>
        <v>83291.402300487476</v>
      </c>
      <c r="D55" s="448">
        <f>$F$26</f>
        <v>118728.10800651305</v>
      </c>
      <c r="E55" s="448"/>
      <c r="F55" s="449">
        <f>SUM(C55:E55)</f>
        <v>202019.51030700054</v>
      </c>
      <c r="G55" s="447">
        <f>'[1]Eau &amp; Energie'!I18+'[1]Eau &amp; Energie'!J18</f>
        <v>-17491.010679424217</v>
      </c>
      <c r="H55" s="448">
        <f>[1]Reuse_LCI!$L$67+'[1]Eau &amp; Energie'!K18+'[1]Eau &amp; Energie'!L18</f>
        <v>53599.671997254576</v>
      </c>
      <c r="I55" s="448"/>
      <c r="J55" s="450">
        <f>SUM(G55:I55)</f>
        <v>36108.66131783036</v>
      </c>
      <c r="K55" s="451">
        <v>0</v>
      </c>
      <c r="L55" s="425">
        <v>0</v>
      </c>
      <c r="M55" s="448"/>
      <c r="N55" s="450">
        <f>SUM(K55:M55)</f>
        <v>0</v>
      </c>
      <c r="O55" s="425">
        <f>O54</f>
        <v>290000</v>
      </c>
      <c r="P55" s="445">
        <f>(SUM(C$45:C55)+SUM(G$45:G55)+SUM(K$45:K55))/SUM($O$45:$O55)</f>
        <v>0.23635706240952251</v>
      </c>
      <c r="Q55" s="446">
        <f>(SUM(D$45:D55)+SUM(H$45:H55)+SUM(L$45:L55))/SUM($O$45:$O55)</f>
        <v>0.57876698606526389</v>
      </c>
      <c r="R55" s="446">
        <f>(SUM(E$45:E55)+SUM(I$45:I55)+SUM(M$45:M55))/SUM($O$45:$O55)</f>
        <v>0</v>
      </c>
      <c r="S55" s="446">
        <f>SUM(P55:R55)</f>
        <v>0.81512404847478637</v>
      </c>
      <c r="T55" s="446"/>
      <c r="X55" s="452"/>
    </row>
    <row r="56" spans="1:24">
      <c r="A56" s="366">
        <v>2037</v>
      </c>
      <c r="B56" s="438">
        <v>12</v>
      </c>
      <c r="C56" s="447">
        <f>$E$26</f>
        <v>83291.402300487476</v>
      </c>
      <c r="D56" s="448">
        <f>$F$26</f>
        <v>118728.10800651305</v>
      </c>
      <c r="E56" s="448"/>
      <c r="F56" s="449">
        <f>SUM(C56:E56)</f>
        <v>202019.51030700054</v>
      </c>
      <c r="G56" s="447">
        <f>'[1]Eau &amp; Energie'!I19+'[1]Eau &amp; Energie'!J19</f>
        <v>-18120.687063883481</v>
      </c>
      <c r="H56" s="448">
        <f>[1]Reuse_LCI!$L$67+'[1]Eau &amp; Energie'!K19+'[1]Eau &amp; Energie'!L19</f>
        <v>54629.260189155742</v>
      </c>
      <c r="I56" s="448"/>
      <c r="J56" s="450">
        <f>SUM(G56:I56)</f>
        <v>36508.573125272262</v>
      </c>
      <c r="K56" s="451">
        <v>0</v>
      </c>
      <c r="L56" s="425">
        <v>0</v>
      </c>
      <c r="M56" s="448"/>
      <c r="N56" s="450">
        <f>SUM(K56:M56)</f>
        <v>0</v>
      </c>
      <c r="O56" s="425">
        <f>O55</f>
        <v>290000</v>
      </c>
      <c r="P56" s="445">
        <f>(SUM(C$45:C56)+SUM(G$45:G56)+SUM(K$45:K56))/SUM($O$45:$O56)</f>
        <v>0.23538785756407493</v>
      </c>
      <c r="Q56" s="446">
        <f>(SUM(D$45:D56)+SUM(H$45:H56)+SUM(L$45:L56))/SUM($O$45:$O56)</f>
        <v>0.58035173958156916</v>
      </c>
      <c r="R56" s="446">
        <f>(SUM(E$45:E56)+SUM(I$45:I56)+SUM(M$45:M56))/SUM($O$45:$O56)</f>
        <v>0</v>
      </c>
      <c r="S56" s="446">
        <f>SUM(P56:R56)</f>
        <v>0.81573959714564404</v>
      </c>
      <c r="T56" s="452"/>
      <c r="X56" s="452"/>
    </row>
    <row r="57" spans="1:24">
      <c r="A57" s="366">
        <v>2038</v>
      </c>
      <c r="B57" s="438">
        <v>13</v>
      </c>
      <c r="C57" s="447">
        <f>$E$26</f>
        <v>83291.402300487476</v>
      </c>
      <c r="D57" s="448">
        <f>$F$26</f>
        <v>118728.10800651305</v>
      </c>
      <c r="E57" s="448"/>
      <c r="F57" s="449">
        <f>SUM(C57:E57)</f>
        <v>202019.51030700054</v>
      </c>
      <c r="G57" s="447">
        <f>'[1]Eau &amp; Energie'!I20+'[1]Eau &amp; Energie'!J20</f>
        <v>-18773.031798183292</v>
      </c>
      <c r="H57" s="448">
        <f>[1]Reuse_LCI!$L$67+'[1]Eau &amp; Energie'!K20+'[1]Eau &amp; Energie'!L20</f>
        <v>55695.913555965351</v>
      </c>
      <c r="I57" s="448"/>
      <c r="J57" s="450">
        <f>SUM(G57:I57)</f>
        <v>36922.881757782059</v>
      </c>
      <c r="K57" s="451">
        <v>0</v>
      </c>
      <c r="L57" s="425">
        <v>0</v>
      </c>
      <c r="M57" s="448"/>
      <c r="N57" s="450">
        <f>SUM(K57:M57)</f>
        <v>0</v>
      </c>
      <c r="O57" s="425">
        <f>O56</f>
        <v>290000</v>
      </c>
      <c r="P57" s="445">
        <f>(SUM(C$45:C57)+SUM(G$45:G57)+SUM(K$45:K57))/SUM($O$45:$O57)</f>
        <v>0.23439472541784745</v>
      </c>
      <c r="Q57" s="446">
        <f>(SUM(D$45:D57)+SUM(H$45:H57)+SUM(L$45:L57))/SUM($O$45:$O57)</f>
        <v>0.58197561679213239</v>
      </c>
      <c r="R57" s="446">
        <f>(SUM(E$45:E57)+SUM(I$45:I57)+SUM(M$45:M57))/SUM($O$45:$O57)</f>
        <v>0</v>
      </c>
      <c r="S57" s="446">
        <f>SUM(P57:R57)</f>
        <v>0.81637034220997984</v>
      </c>
      <c r="T57" s="452"/>
      <c r="X57" s="452"/>
    </row>
    <row r="58" spans="1:24">
      <c r="A58" s="366">
        <v>2039</v>
      </c>
      <c r="B58" s="438">
        <v>14</v>
      </c>
      <c r="C58" s="447">
        <f>$E$26</f>
        <v>83291.402300487476</v>
      </c>
      <c r="D58" s="448">
        <f>$F$26</f>
        <v>118728.10800651305</v>
      </c>
      <c r="E58" s="448"/>
      <c r="F58" s="449">
        <f>SUM(C58:E58)</f>
        <v>202019.51030700054</v>
      </c>
      <c r="G58" s="447">
        <f>'[1]Eau &amp; Energie'!I21+'[1]Eau &amp; Energie'!J21</f>
        <v>-19448.86094291789</v>
      </c>
      <c r="H58" s="448">
        <f>[1]Reuse_LCI!$L$67+'[1]Eau &amp; Energie'!K21+'[1]Eau &amp; Energie'!L21</f>
        <v>56800.966443980098</v>
      </c>
      <c r="I58" s="448"/>
      <c r="J58" s="450">
        <f>SUM(G58:I58)</f>
        <v>37352.105501062208</v>
      </c>
      <c r="K58" s="451">
        <v>0</v>
      </c>
      <c r="L58" s="425">
        <v>0</v>
      </c>
      <c r="M58" s="448"/>
      <c r="N58" s="450">
        <f>SUM(K58:M58)</f>
        <v>0</v>
      </c>
      <c r="O58" s="425">
        <f>O57</f>
        <v>290000</v>
      </c>
      <c r="P58" s="445">
        <f>(SUM(C$45:C58)+SUM(G$45:G58)+SUM(K$45:K58))/SUM($O$45:$O58)</f>
        <v>0.23337700891203314</v>
      </c>
      <c r="Q58" s="446">
        <f>(SUM(D$45:D58)+SUM(H$45:H58)+SUM(L$45:L58))/SUM($O$45:$O58)</f>
        <v>0.58363969205833299</v>
      </c>
      <c r="R58" s="446">
        <f>(SUM(E$45:E58)+SUM(I$45:I58)+SUM(M$45:M58))/SUM($O$45:$O58)</f>
        <v>0</v>
      </c>
      <c r="S58" s="446">
        <f>SUM(P58:R58)</f>
        <v>0.81701670097036616</v>
      </c>
      <c r="T58" s="452"/>
      <c r="X58" s="452"/>
    </row>
    <row r="59" spans="1:24">
      <c r="A59" s="366">
        <v>2040</v>
      </c>
      <c r="B59" s="438">
        <v>15</v>
      </c>
      <c r="C59" s="447">
        <f>$E$26</f>
        <v>83291.402300487476</v>
      </c>
      <c r="D59" s="448">
        <f>$F$26</f>
        <v>118728.10800651305</v>
      </c>
      <c r="E59" s="448"/>
      <c r="F59" s="449">
        <f>SUM(C59:E59)</f>
        <v>202019.51030700054</v>
      </c>
      <c r="G59" s="447">
        <f>'[1]Eau &amp; Energie'!I22+'[1]Eau &amp; Energie'!J22</f>
        <v>-20149.019936862926</v>
      </c>
      <c r="H59" s="448">
        <f>[1]Reuse_LCI!$L$67+'[1]Eau &amp; Energie'!K22+'[1]Eau &amp; Energie'!L22</f>
        <v>57945.801235963387</v>
      </c>
      <c r="I59" s="448"/>
      <c r="J59" s="450">
        <f>SUM(G59:I59)</f>
        <v>37796.781299100461</v>
      </c>
      <c r="K59" s="451">
        <v>0</v>
      </c>
      <c r="L59" s="425">
        <v>0</v>
      </c>
      <c r="M59" s="448"/>
      <c r="N59" s="450">
        <f>SUM(K59:M59)</f>
        <v>0</v>
      </c>
      <c r="O59" s="425">
        <f>O58</f>
        <v>290000</v>
      </c>
      <c r="P59" s="445">
        <f>(SUM(C$45:C59)+SUM(G$45:G59)+SUM(K$45:K59))/SUM($O$45:$O59)</f>
        <v>0.23233403184976531</v>
      </c>
      <c r="Q59" s="446">
        <f>(SUM(D$45:D59)+SUM(H$45:H59)+SUM(L$45:L59))/SUM($O$45:$O59)</f>
        <v>0.58534507103432376</v>
      </c>
      <c r="R59" s="446">
        <f>(SUM(E$45:E59)+SUM(I$45:I59)+SUM(M$45:M59))/SUM($O$45:$O59)</f>
        <v>0</v>
      </c>
      <c r="S59" s="446">
        <f>SUM(P59:R59)</f>
        <v>0.81767910288408907</v>
      </c>
      <c r="T59" s="452">
        <f>S59</f>
        <v>0.81767910288408907</v>
      </c>
      <c r="U59" s="366" t="str">
        <f>TEXT(T59,"0"&amp;MID(1/3,2,1)&amp;"00")&amp;" €/m"&amp;CHAR(179)</f>
        <v>0.82 €/m³</v>
      </c>
      <c r="X59" s="452"/>
    </row>
    <row r="60" spans="1:24">
      <c r="A60" s="366">
        <v>2041</v>
      </c>
      <c r="B60" s="438">
        <v>16</v>
      </c>
      <c r="C60" s="447">
        <f>$E$26</f>
        <v>83291.402300487476</v>
      </c>
      <c r="D60" s="448">
        <f>$F$26</f>
        <v>118728.10800651305</v>
      </c>
      <c r="E60" s="448"/>
      <c r="F60" s="449">
        <f>SUM(C60:E60)</f>
        <v>202019.51030700054</v>
      </c>
      <c r="G60" s="447">
        <f>'[1]Eau &amp; Energie'!I23+'[1]Eau &amp; Energie'!J23</f>
        <v>-20874.384654590001</v>
      </c>
      <c r="H60" s="448">
        <f>[1]Reuse_LCI!$L$67+'[1]Eau &amp; Energie'!K23+'[1]Eau &amp; Energie'!L23</f>
        <v>59131.850080458069</v>
      </c>
      <c r="I60" s="448"/>
      <c r="J60" s="450">
        <f>SUM(G60:I60)</f>
        <v>38257.465425868068</v>
      </c>
      <c r="K60" s="451">
        <v>0</v>
      </c>
      <c r="L60" s="425">
        <v>0</v>
      </c>
      <c r="M60" s="448"/>
      <c r="N60" s="450">
        <f>SUM(K60:M60)</f>
        <v>0</v>
      </c>
      <c r="O60" s="425">
        <f>O59</f>
        <v>290000</v>
      </c>
      <c r="P60" s="445">
        <f>(SUM(C$45:C60)+SUM(G$45:G60)+SUM(K$45:K60))/SUM($O$45:$O60)</f>
        <v>0.23126509831732256</v>
      </c>
      <c r="Q60" s="446">
        <f>(SUM(D$45:D60)+SUM(H$45:H60)+SUM(L$45:L60))/SUM($O$45:$O60)</f>
        <v>0.58709289161342237</v>
      </c>
      <c r="R60" s="446">
        <f>(SUM(E$45:E60)+SUM(I$45:I60)+SUM(M$45:M60))/SUM($O$45:$O60)</f>
        <v>0</v>
      </c>
      <c r="S60" s="446">
        <f>SUM(P60:R60)</f>
        <v>0.81835798993074493</v>
      </c>
      <c r="T60" s="452"/>
      <c r="X60" s="452"/>
    </row>
    <row r="61" spans="1:24">
      <c r="A61" s="366">
        <v>2042</v>
      </c>
      <c r="B61" s="438">
        <v>17</v>
      </c>
      <c r="C61" s="447">
        <f>$E$26</f>
        <v>83291.402300487476</v>
      </c>
      <c r="D61" s="448">
        <f>$F$26</f>
        <v>118728.10800651305</v>
      </c>
      <c r="E61" s="448"/>
      <c r="F61" s="449">
        <f>SUM(C61:E61)</f>
        <v>202019.51030700054</v>
      </c>
      <c r="G61" s="447">
        <f>'[1]Eau &amp; Energie'!I24+'[1]Eau &amp; Energie'!J24</f>
        <v>-21625.862502155243</v>
      </c>
      <c r="H61" s="448">
        <f>[1]Reuse_LCI!$L$67+'[1]Eau &amp; Energie'!K24+'[1]Eau &amp; Energie'!L24</f>
        <v>60360.596683354568</v>
      </c>
      <c r="I61" s="448"/>
      <c r="J61" s="450">
        <f>SUM(G61:I61)</f>
        <v>38734.734181199325</v>
      </c>
      <c r="K61" s="451">
        <v>0</v>
      </c>
      <c r="L61" s="425">
        <v>0</v>
      </c>
      <c r="M61" s="448"/>
      <c r="N61" s="450">
        <f>SUM(K61:M61)</f>
        <v>0</v>
      </c>
      <c r="O61" s="425">
        <f>O60</f>
        <v>290000</v>
      </c>
      <c r="P61" s="445">
        <f>(SUM(C$45:C61)+SUM(G$45:G61)+SUM(K$45:K61))/SUM($O$45:$O61)</f>
        <v>0.23016949208736492</v>
      </c>
      <c r="Q61" s="446">
        <f>(SUM(D$45:D61)+SUM(H$45:H61)+SUM(L$45:L61))/SUM($O$45:$O61)</f>
        <v>0.58888432490388376</v>
      </c>
      <c r="R61" s="446">
        <f>(SUM(E$45:E61)+SUM(I$45:I61)+SUM(M$45:M61))/SUM($O$45:$O61)</f>
        <v>0</v>
      </c>
      <c r="S61" s="446">
        <f>SUM(P61:R61)</f>
        <v>0.81905381699124868</v>
      </c>
      <c r="T61" s="452"/>
      <c r="X61" s="452"/>
    </row>
    <row r="62" spans="1:24">
      <c r="A62" s="366">
        <v>2043</v>
      </c>
      <c r="B62" s="438">
        <v>18</v>
      </c>
      <c r="C62" s="447">
        <f>$E$26</f>
        <v>83291.402300487476</v>
      </c>
      <c r="D62" s="448">
        <f>$F$26</f>
        <v>118728.10800651305</v>
      </c>
      <c r="E62" s="448"/>
      <c r="F62" s="449">
        <f>SUM(C62:E62)</f>
        <v>202019.51030700054</v>
      </c>
      <c r="G62" s="447">
        <f>'[1]Eau &amp; Energie'!I25+'[1]Eau &amp; Energie'!J25</f>
        <v>-22404.393552232825</v>
      </c>
      <c r="H62" s="448">
        <f>[1]Reuse_LCI!$L$67+'[1]Eau &amp; Energie'!K25+'[1]Eau &amp; Energie'!L25</f>
        <v>61633.578163955332</v>
      </c>
      <c r="I62" s="448"/>
      <c r="J62" s="450">
        <f>SUM(G62:I62)</f>
        <v>39229.184611722507</v>
      </c>
      <c r="K62" s="451">
        <v>0</v>
      </c>
      <c r="L62" s="425">
        <v>0</v>
      </c>
      <c r="M62" s="448"/>
      <c r="N62" s="450">
        <f>SUM(K62:M62)</f>
        <v>0</v>
      </c>
      <c r="O62" s="425">
        <f>O61</f>
        <v>290000</v>
      </c>
      <c r="P62" s="445">
        <f>(SUM(C$45:C62)+SUM(G$45:G62)+SUM(K$45:K62))/SUM($O$45:$O62)</f>
        <v>0.22904647600363287</v>
      </c>
      <c r="Q62" s="446">
        <f>(SUM(D$45:D62)+SUM(H$45:H62)+SUM(L$45:L62))/SUM($O$45:$O62)</f>
        <v>0.59072057623498386</v>
      </c>
      <c r="R62" s="446">
        <f>(SUM(E$45:E62)+SUM(I$45:I62)+SUM(M$45:M62))/SUM($O$45:$O62)</f>
        <v>0</v>
      </c>
      <c r="S62" s="446">
        <f>SUM(P62:R62)</f>
        <v>0.81976705223861668</v>
      </c>
      <c r="T62" s="452"/>
      <c r="X62" s="452"/>
    </row>
    <row r="63" spans="1:24">
      <c r="A63" s="366">
        <v>2044</v>
      </c>
      <c r="B63" s="438">
        <v>19</v>
      </c>
      <c r="C63" s="447">
        <f>$E$26</f>
        <v>83291.402300487476</v>
      </c>
      <c r="D63" s="448">
        <f>$F$26</f>
        <v>118728.10800651305</v>
      </c>
      <c r="E63" s="448"/>
      <c r="F63" s="449">
        <f>SUM(C63:E63)</f>
        <v>202019.51030700054</v>
      </c>
      <c r="G63" s="447">
        <f>'[1]Eau &amp; Energie'!I26+'[1]Eau &amp; Energie'!J26</f>
        <v>-23210.951720113197</v>
      </c>
      <c r="H63" s="448">
        <f>[1]Reuse_LCI!$L$67+'[1]Eau &amp; Energie'!K26+'[1]Eau &amp; Energie'!L26</f>
        <v>62952.386977857706</v>
      </c>
      <c r="I63" s="448"/>
      <c r="J63" s="450">
        <f>SUM(G63:I63)</f>
        <v>39741.43525774451</v>
      </c>
      <c r="K63" s="451">
        <v>0</v>
      </c>
      <c r="L63" s="425">
        <v>0</v>
      </c>
      <c r="M63" s="448"/>
      <c r="N63" s="450">
        <f>SUM(K63:M63)</f>
        <v>0</v>
      </c>
      <c r="O63" s="425">
        <f>O62</f>
        <v>290000</v>
      </c>
      <c r="P63" s="445">
        <f>(SUM(C$45:C63)+SUM(G$45:G63)+SUM(K$45:K63))/SUM($O$45:$O63)</f>
        <v>0.22789529134652231</v>
      </c>
      <c r="Q63" s="446">
        <f>(SUM(D$45:D63)+SUM(H$45:H63)+SUM(L$45:L63))/SUM($O$45:$O63)</f>
        <v>0.5926028861943714</v>
      </c>
      <c r="R63" s="446">
        <f>(SUM(E$45:E63)+SUM(I$45:I63)+SUM(M$45:M63))/SUM($O$45:$O63)</f>
        <v>0</v>
      </c>
      <c r="S63" s="446">
        <f>SUM(P63:R63)</f>
        <v>0.82049817754089371</v>
      </c>
      <c r="T63" s="452"/>
      <c r="X63" s="452"/>
    </row>
    <row r="64" spans="1:24">
      <c r="A64" s="366">
        <v>2045</v>
      </c>
      <c r="B64" s="438">
        <v>20</v>
      </c>
      <c r="C64" s="447">
        <f>$E$26</f>
        <v>83291.402300487476</v>
      </c>
      <c r="D64" s="448">
        <f>$F$26</f>
        <v>118728.10800651305</v>
      </c>
      <c r="E64" s="448"/>
      <c r="F64" s="449">
        <f>SUM(C64:E64)</f>
        <v>202019.51030700054</v>
      </c>
      <c r="G64" s="447">
        <f>'[1]Eau &amp; Energie'!I27+'[1]Eau &amp; Energie'!J27</f>
        <v>-24046.545982037278</v>
      </c>
      <c r="H64" s="448">
        <f>[1]Reuse_LCI!$L$67+'[1]Eau &amp; Energie'!K27+'[1]Eau &amp; Energie'!L27</f>
        <v>64318.672909060595</v>
      </c>
      <c r="I64" s="448"/>
      <c r="J64" s="450">
        <f>SUM(G64:I64)</f>
        <v>40272.126927023317</v>
      </c>
      <c r="K64" s="451">
        <v>0</v>
      </c>
      <c r="L64" s="425">
        <v>0</v>
      </c>
      <c r="M64" s="448"/>
      <c r="N64" s="450">
        <f>SUM(K64:M64)</f>
        <v>0</v>
      </c>
      <c r="O64" s="425">
        <f>O63</f>
        <v>290000</v>
      </c>
      <c r="P64" s="445">
        <f>(SUM(C$45:C64)+SUM(G$45:G64)+SUM(K$45:K64))/SUM($O$45:$O64)</f>
        <v>0.22671515717892898</v>
      </c>
      <c r="Q64" s="446">
        <f>(SUM(D$45:D64)+SUM(H$45:H64)+SUM(L$45:L64))/SUM($O$45:$O64)</f>
        <v>0.59453253169768283</v>
      </c>
      <c r="R64" s="446">
        <f>(SUM(E$45:E64)+SUM(I$45:I64)+SUM(M$45:M64))/SUM($O$45:$O64)</f>
        <v>0</v>
      </c>
      <c r="S64" s="446">
        <f>SUM(P64:R64)</f>
        <v>0.82124768887661181</v>
      </c>
      <c r="T64" s="452">
        <f>S64</f>
        <v>0.82124768887661181</v>
      </c>
      <c r="U64" s="366" t="str">
        <f>TEXT(T64,"0"&amp;MID(1/3,2,1)&amp;"00")&amp;" €/m"&amp;CHAR(179)</f>
        <v>0.82 €/m³</v>
      </c>
      <c r="X64" s="452"/>
    </row>
    <row r="65" spans="1:28">
      <c r="A65" s="366">
        <v>2046</v>
      </c>
      <c r="B65" s="438">
        <v>21</v>
      </c>
      <c r="C65" s="447">
        <v>0</v>
      </c>
      <c r="D65" s="448">
        <v>0</v>
      </c>
      <c r="E65" s="448"/>
      <c r="F65" s="449">
        <f ca="1">SUM(C65:F65)</f>
        <v>0</v>
      </c>
      <c r="G65" s="447">
        <f>'[1]Eau &amp; Energie'!I28+'[1]Eau &amp; Energie'!J28</f>
        <v>-24912.221637390627</v>
      </c>
      <c r="H65" s="448">
        <f>[1]Reuse_LCI!$L$67+'[1]Eau &amp; Energie'!K28+'[1]Eau &amp; Energie'!L28</f>
        <v>65734.145133786777</v>
      </c>
      <c r="I65" s="448"/>
      <c r="J65" s="450">
        <f>SUM(G65:I65)</f>
        <v>40821.92349639615</v>
      </c>
      <c r="K65" s="451">
        <v>0</v>
      </c>
      <c r="L65" s="425">
        <v>0</v>
      </c>
      <c r="M65" s="448"/>
      <c r="N65" s="450">
        <f>SUM(K65:M65)</f>
        <v>0</v>
      </c>
      <c r="O65" s="425">
        <f>O64</f>
        <v>290000</v>
      </c>
      <c r="P65" s="445">
        <f>(SUM(C$45:C65)+SUM(G$45:G65)+SUM(K$45:K65))/SUM($O$45:$O65)</f>
        <v>0.21182852052551684</v>
      </c>
      <c r="Q65" s="446">
        <f>(SUM(D$45:D65)+SUM(H$45:H65)+SUM(L$45:L65))/SUM($O$45:$O65)</f>
        <v>0.57701524285391581</v>
      </c>
      <c r="R65" s="446">
        <f>(SUM(E$45:E65)+SUM(I$45:I65)+SUM(M$45:M65))/SUM($O$45:$O65)</f>
        <v>0</v>
      </c>
      <c r="S65" s="446">
        <f>SUM(P65:R65)</f>
        <v>0.78884376337943263</v>
      </c>
      <c r="T65" s="446"/>
      <c r="X65" s="452"/>
    </row>
    <row r="66" spans="1:28">
      <c r="A66" s="366">
        <v>2047</v>
      </c>
      <c r="B66" s="438">
        <v>22</v>
      </c>
      <c r="C66" s="447">
        <v>0</v>
      </c>
      <c r="D66" s="448">
        <v>0</v>
      </c>
      <c r="E66" s="448"/>
      <c r="F66" s="449">
        <f ca="1">SUM(C66:F66)</f>
        <v>0</v>
      </c>
      <c r="G66" s="447">
        <f>'[1]Eau &amp; Energie'!I29+'[1]Eau &amp; Energie'!J29</f>
        <v>-25809.061616336694</v>
      </c>
      <c r="H66" s="448">
        <f>[1]Reuse_LCI!$L$67+'[1]Eau &amp; Energie'!K29+'[1]Eau &amp; Energie'!L29</f>
        <v>67200.574358603102</v>
      </c>
      <c r="I66" s="448"/>
      <c r="J66" s="450">
        <f>SUM(G66:I66)</f>
        <v>41391.512742266408</v>
      </c>
      <c r="K66" s="451">
        <v>0</v>
      </c>
      <c r="L66" s="425">
        <v>0</v>
      </c>
      <c r="M66" s="448"/>
      <c r="N66" s="450">
        <f>SUM(K66:M66)</f>
        <v>0</v>
      </c>
      <c r="O66" s="425">
        <f>O65</f>
        <v>290000</v>
      </c>
      <c r="P66" s="445">
        <f>(SUM(C$45:C66)+SUM(G$45:G66)+SUM(K$45:K66))/SUM($O$45:$O66)</f>
        <v>0.19815464394734494</v>
      </c>
      <c r="Q66" s="446">
        <f>(SUM(D$45:D66)+SUM(H$45:H66)+SUM(L$45:L66))/SUM($O$45:$O66)</f>
        <v>0.56132028265500788</v>
      </c>
      <c r="R66" s="446">
        <f>(SUM(E$45:E66)+SUM(I$45:I66)+SUM(M$45:M66))/SUM($O$45:$O66)</f>
        <v>0</v>
      </c>
      <c r="S66" s="446">
        <f>SUM(P66:R66)</f>
        <v>0.75947492660235283</v>
      </c>
      <c r="T66" s="452"/>
      <c r="X66" s="452"/>
    </row>
    <row r="67" spans="1:28">
      <c r="A67" s="366">
        <v>2048</v>
      </c>
      <c r="B67" s="438">
        <v>23</v>
      </c>
      <c r="C67" s="447">
        <v>0</v>
      </c>
      <c r="D67" s="448">
        <v>0</v>
      </c>
      <c r="E67" s="448"/>
      <c r="F67" s="449">
        <f ca="1">SUM(C67:F67)</f>
        <v>0</v>
      </c>
      <c r="G67" s="447">
        <f>'[1]Eau &amp; Energie'!I30+'[1]Eau &amp; Energie'!J30</f>
        <v>-26738.187834524797</v>
      </c>
      <c r="H67" s="448">
        <f>[1]Reuse_LCI!$L$67+'[1]Eau &amp; Energie'!K30+'[1]Eau &amp; Energie'!L30</f>
        <v>68719.795035512812</v>
      </c>
      <c r="I67" s="448"/>
      <c r="J67" s="450">
        <f>SUM(G67:I67)</f>
        <v>41981.607200988015</v>
      </c>
      <c r="K67" s="451">
        <v>0</v>
      </c>
      <c r="L67" s="425">
        <v>0</v>
      </c>
      <c r="M67" s="448"/>
      <c r="N67" s="450">
        <f>SUM(K67:M67)</f>
        <v>0</v>
      </c>
      <c r="O67" s="425">
        <f>O66</f>
        <v>290000</v>
      </c>
      <c r="P67" s="445">
        <f>(SUM(C$45:C67)+SUM(G$45:G67)+SUM(K$45:K67))/SUM($O$45:$O67)</f>
        <v>0.18553050083201442</v>
      </c>
      <c r="Q67" s="446">
        <f>(SUM(D$45:D67)+SUM(H$45:H67)+SUM(L$45:L67))/SUM($O$45:$O67)</f>
        <v>0.54721787082075912</v>
      </c>
      <c r="R67" s="446">
        <f>(SUM(E$45:E67)+SUM(I$45:I67)+SUM(M$45:M67))/SUM($O$45:$O67)</f>
        <v>0</v>
      </c>
      <c r="S67" s="446">
        <f>SUM(P67:R67)</f>
        <v>0.73274837165277351</v>
      </c>
      <c r="T67" s="452"/>
      <c r="X67" s="452"/>
    </row>
    <row r="68" spans="1:28">
      <c r="A68" s="366">
        <v>2049</v>
      </c>
      <c r="B68" s="438">
        <v>24</v>
      </c>
      <c r="C68" s="447">
        <v>0</v>
      </c>
      <c r="D68" s="448">
        <v>0</v>
      </c>
      <c r="E68" s="448"/>
      <c r="F68" s="449">
        <f ca="1">SUM(C68:F68)</f>
        <v>0</v>
      </c>
      <c r="G68" s="447">
        <f>'[1]Eau &amp; Energie'!I31+'[1]Eau &amp; Energie'!J31</f>
        <v>-27700.7625965677</v>
      </c>
      <c r="H68" s="448">
        <f>[1]Reuse_LCI!$L$67+'[1]Eau &amp; Energie'!K31+'[1]Eau &amp; Energie'!L31</f>
        <v>70293.707656791274</v>
      </c>
      <c r="I68" s="448"/>
      <c r="J68" s="450">
        <f>SUM(G68:I68)</f>
        <v>42592.945060223574</v>
      </c>
      <c r="K68" s="451">
        <v>0</v>
      </c>
      <c r="L68" s="425">
        <v>0</v>
      </c>
      <c r="M68" s="448"/>
      <c r="N68" s="450">
        <f>SUM(K68:M68)</f>
        <v>0</v>
      </c>
      <c r="O68" s="425">
        <f>O67</f>
        <v>290000</v>
      </c>
      <c r="P68" s="445">
        <f>(SUM(C$45:C68)+SUM(G$45:G68)+SUM(K$45:K68))/SUM($O$45:$O68)</f>
        <v>0.17382006867140348</v>
      </c>
      <c r="Q68" s="446">
        <f>(SUM(D$45:D68)+SUM(H$45:H68)+SUM(L$45:L68))/SUM($O$45:$O68)</f>
        <v>0.53451679684357101</v>
      </c>
      <c r="R68" s="446">
        <f>(SUM(E$45:E68)+SUM(I$45:I68)+SUM(M$45:M68))/SUM($O$45:$O68)</f>
        <v>0</v>
      </c>
      <c r="S68" s="446">
        <f>SUM(P68:R68)</f>
        <v>0.70833686551497443</v>
      </c>
      <c r="T68" s="452"/>
      <c r="X68" s="452"/>
    </row>
    <row r="69" spans="1:28">
      <c r="A69" s="366">
        <v>2050</v>
      </c>
      <c r="B69" s="438">
        <v>25</v>
      </c>
      <c r="C69" s="447">
        <v>0</v>
      </c>
      <c r="D69" s="448">
        <v>0</v>
      </c>
      <c r="E69" s="448"/>
      <c r="F69" s="449">
        <f ca="1">SUM(C69:F69)</f>
        <v>0</v>
      </c>
      <c r="G69" s="447">
        <f>'[1]Eau &amp; Energie'!I32+'[1]Eau &amp; Energie'!J32</f>
        <v>-28697.990050044144</v>
      </c>
      <c r="H69" s="448">
        <f>[1]Reuse_LCI!$L$67+'[1]Eau &amp; Energie'!K32+'[1]Eau &amp; Energie'!L32</f>
        <v>71924.281132435761</v>
      </c>
      <c r="I69" s="448"/>
      <c r="J69" s="450">
        <f>SUM(G69:I69)</f>
        <v>43226.291082391617</v>
      </c>
      <c r="K69" s="451">
        <v>0</v>
      </c>
      <c r="L69" s="425">
        <v>0</v>
      </c>
      <c r="M69" s="448"/>
      <c r="N69" s="450">
        <f>SUM(K69:M69)</f>
        <v>0</v>
      </c>
      <c r="O69" s="425">
        <f>O68</f>
        <v>290000</v>
      </c>
      <c r="P69" s="445">
        <f>(SUM(C$45:C69)+SUM(G$45:G69)+SUM(K$45:K69))/SUM($O$45:$O69)</f>
        <v>0.16290892246936883</v>
      </c>
      <c r="Q69" s="446">
        <f>(SUM(D$45:D69)+SUM(H$45:H69)+SUM(L$45:L69))/SUM($O$45:$O69)</f>
        <v>0.52305671547085386</v>
      </c>
      <c r="R69" s="446">
        <f>(SUM(E$45:E69)+SUM(I$45:I69)+SUM(M$45:M69))/SUM($O$45:$O69)</f>
        <v>0</v>
      </c>
      <c r="S69" s="446">
        <f>SUM(P69:R69)</f>
        <v>0.68596563794022269</v>
      </c>
      <c r="T69" s="452">
        <f>S69</f>
        <v>0.68596563794022269</v>
      </c>
      <c r="U69" s="366" t="str">
        <f>TEXT(T69,"0"&amp;MID(1/3,2,1)&amp;"00")&amp;" €/m"&amp;CHAR(179)</f>
        <v>0.69 €/m³</v>
      </c>
      <c r="X69" s="452"/>
    </row>
    <row r="70" spans="1:28">
      <c r="A70" s="366">
        <v>2051</v>
      </c>
      <c r="B70" s="438">
        <v>26</v>
      </c>
      <c r="C70" s="447">
        <v>0</v>
      </c>
      <c r="D70" s="448">
        <v>0</v>
      </c>
      <c r="E70" s="448"/>
      <c r="F70" s="449">
        <f ca="1">SUM(C70:F70)</f>
        <v>0</v>
      </c>
      <c r="G70" s="447">
        <f>'[1]Eau &amp; Energie'!I33+'[1]Eau &amp; Energie'!J33</f>
        <v>-29731.117691845735</v>
      </c>
      <c r="H70" s="448">
        <f>[1]Reuse_LCI!$L$67+'[1]Eau &amp; Energie'!K33+'[1]Eau &amp; Energie'!L33</f>
        <v>73613.555253203434</v>
      </c>
      <c r="I70" s="448"/>
      <c r="J70" s="450">
        <f>SUM(G70:I70)</f>
        <v>43882.437561357699</v>
      </c>
      <c r="K70" s="451">
        <v>0</v>
      </c>
      <c r="L70" s="425">
        <v>0</v>
      </c>
      <c r="M70" s="448"/>
      <c r="N70" s="450">
        <f>SUM(K70:M70)</f>
        <v>0</v>
      </c>
      <c r="O70" s="425">
        <f>O69</f>
        <v>290000</v>
      </c>
      <c r="P70" s="445">
        <f>(SUM(C$45:C70)+SUM(G$45:G70)+SUM(K$45:K70))/SUM($O$45:$O70)</f>
        <v>0.15270007562481147</v>
      </c>
      <c r="Q70" s="446">
        <f>(SUM(D$45:D70)+SUM(H$45:H70)+SUM(L$45:L70))/SUM($O$45:$O70)</f>
        <v>0.51270222047969405</v>
      </c>
      <c r="R70" s="446">
        <f>(SUM(E$45:E70)+SUM(I$45:I70)+SUM(M$45:M70))/SUM($O$45:$O70)</f>
        <v>0</v>
      </c>
      <c r="S70" s="446">
        <f>SUM(P70:R70)</f>
        <v>0.66540229610450552</v>
      </c>
      <c r="T70" s="452"/>
      <c r="X70" s="452"/>
    </row>
    <row r="71" spans="1:28">
      <c r="A71" s="366">
        <v>2052</v>
      </c>
      <c r="B71" s="438">
        <v>27</v>
      </c>
      <c r="C71" s="447">
        <v>0</v>
      </c>
      <c r="D71" s="448">
        <v>0</v>
      </c>
      <c r="E71" s="448"/>
      <c r="F71" s="449">
        <f ca="1">SUM(C71:F71)</f>
        <v>0</v>
      </c>
      <c r="G71" s="447">
        <f>'[1]Eau &amp; Energie'!I34+'[1]Eau &amp; Energie'!J34</f>
        <v>-30801.437928752159</v>
      </c>
      <c r="H71" s="448">
        <f>[1]Reuse_LCI!$L$67+'[1]Eau &amp; Energie'!K34+'[1]Eau &amp; Energie'!L34</f>
        <v>75363.643242318765</v>
      </c>
      <c r="I71" s="448"/>
      <c r="J71" s="450">
        <f>SUM(G71:I71)</f>
        <v>44562.205313566606</v>
      </c>
      <c r="K71" s="451">
        <v>0</v>
      </c>
      <c r="L71" s="425">
        <v>0</v>
      </c>
      <c r="M71" s="448"/>
      <c r="N71" s="450">
        <f>SUM(K71:M71)</f>
        <v>0</v>
      </c>
      <c r="O71" s="425">
        <f>O70</f>
        <v>290000</v>
      </c>
      <c r="P71" s="445">
        <f>(SUM(C$45:C71)+SUM(G$45:G71)+SUM(K$45:K71))/SUM($O$45:$O71)</f>
        <v>0.1431107448636432</v>
      </c>
      <c r="Q71" s="446">
        <f>(SUM(D$45:D71)+SUM(H$45:H71)+SUM(L$45:L71))/SUM($O$45:$O71)</f>
        <v>0.50333823571637448</v>
      </c>
      <c r="R71" s="446">
        <f>(SUM(E$45:E71)+SUM(I$45:I71)+SUM(M$45:M71))/SUM($O$45:$O71)</f>
        <v>0</v>
      </c>
      <c r="S71" s="446">
        <f>SUM(P71:R71)</f>
        <v>0.64644898058001765</v>
      </c>
      <c r="T71" s="452"/>
      <c r="X71" s="452"/>
    </row>
    <row r="72" spans="1:28">
      <c r="A72" s="366">
        <v>2053</v>
      </c>
      <c r="B72" s="438">
        <v>28</v>
      </c>
      <c r="C72" s="447">
        <v>0</v>
      </c>
      <c r="D72" s="448">
        <v>0</v>
      </c>
      <c r="E72" s="448"/>
      <c r="F72" s="449">
        <f ca="1">SUM(C72:F72)</f>
        <v>0</v>
      </c>
      <c r="G72" s="447">
        <f>'[1]Eau &amp; Energie'!I35+'[1]Eau &amp; Energie'!J35</f>
        <v>-31910.289694187246</v>
      </c>
      <c r="H72" s="448">
        <f>[1]Reuse_LCI!$L$67+'[1]Eau &amp; Energie'!K35+'[1]Eau &amp; Energie'!L35</f>
        <v>77176.734399042238</v>
      </c>
      <c r="I72" s="448"/>
      <c r="J72" s="450">
        <f>SUM(G72:I72)</f>
        <v>45266.444704854992</v>
      </c>
      <c r="K72" s="451">
        <v>0</v>
      </c>
      <c r="L72" s="425">
        <v>0</v>
      </c>
      <c r="M72" s="448"/>
      <c r="N72" s="450">
        <f>SUM(K72:M72)</f>
        <v>0</v>
      </c>
      <c r="O72" s="425">
        <f>O71</f>
        <v>290000</v>
      </c>
      <c r="P72" s="445">
        <f>(SUM(C$45:C72)+SUM(G$45:G72)+SUM(K$45:K72))/SUM($O$45:$O72)</f>
        <v>0.13406980820050973</v>
      </c>
      <c r="Q72" s="446">
        <f>(SUM(D$45:D72)+SUM(H$45:H72)+SUM(L$45:L72))/SUM($O$45:$O72)</f>
        <v>0.49486639409584415</v>
      </c>
      <c r="R72" s="446">
        <f>(SUM(E$45:E72)+SUM(I$45:I72)+SUM(M$45:M72))/SUM($O$45:$O72)</f>
        <v>0</v>
      </c>
      <c r="S72" s="446">
        <f>SUM(P72:R72)</f>
        <v>0.62893620229635383</v>
      </c>
      <c r="T72" s="452"/>
      <c r="X72" s="452"/>
    </row>
    <row r="73" spans="1:28">
      <c r="A73" s="366">
        <v>2054</v>
      </c>
      <c r="B73" s="438">
        <v>29</v>
      </c>
      <c r="C73" s="447">
        <v>0</v>
      </c>
      <c r="D73" s="448">
        <v>0</v>
      </c>
      <c r="E73" s="448"/>
      <c r="F73" s="449">
        <f ca="1">SUM(C73:F73)</f>
        <v>0</v>
      </c>
      <c r="G73" s="447">
        <f>'[1]Eau &amp; Energie'!I36+'[1]Eau &amp; Energie'!J36</f>
        <v>-33059.060123178002</v>
      </c>
      <c r="H73" s="448">
        <f>[1]Reuse_LCI!$L$67+'[1]Eau &amp; Energie'!K36+'[1]Eau &amp; Energie'!L36</f>
        <v>79055.096837407764</v>
      </c>
      <c r="I73" s="448"/>
      <c r="J73" s="450">
        <f>SUM(G73:I73)</f>
        <v>45996.036714229762</v>
      </c>
      <c r="K73" s="451">
        <v>0</v>
      </c>
      <c r="L73" s="425">
        <v>0</v>
      </c>
      <c r="M73" s="448"/>
      <c r="N73" s="450">
        <f>SUM(K73:M73)</f>
        <v>0</v>
      </c>
      <c r="O73" s="425">
        <f>O72</f>
        <v>290000</v>
      </c>
      <c r="P73" s="445">
        <f>(SUM(C$45:C73)+SUM(G$45:G73)+SUM(K$45:K73))/SUM($O$45:$O73)</f>
        <v>0.12551578864030452</v>
      </c>
      <c r="Q73" s="446">
        <f>(SUM(D$45:D73)+SUM(H$45:H73)+SUM(L$45:L73))/SUM($O$45:$O73)</f>
        <v>0.48720216609936529</v>
      </c>
      <c r="R73" s="446">
        <f>(SUM(E$45:E73)+SUM(I$45:I73)+SUM(M$45:M73))/SUM($O$45:$O73)</f>
        <v>0</v>
      </c>
      <c r="S73" s="446">
        <f>SUM(P73:R73)</f>
        <v>0.61271795473966983</v>
      </c>
      <c r="T73" s="452"/>
      <c r="X73" s="452"/>
    </row>
    <row r="74" spans="1:28">
      <c r="A74" s="453">
        <v>2055</v>
      </c>
      <c r="B74" s="454">
        <v>30</v>
      </c>
      <c r="C74" s="455">
        <v>0</v>
      </c>
      <c r="D74" s="456">
        <v>0</v>
      </c>
      <c r="E74" s="456"/>
      <c r="F74" s="457">
        <f ca="1">SUM(C74:F74)</f>
        <v>0</v>
      </c>
      <c r="G74" s="455">
        <f>'[1]Eau &amp; Energie'!I37+'[1]Eau &amp; Energie'!J37</f>
        <v>-34249.186287612392</v>
      </c>
      <c r="H74" s="456">
        <f>[1]Reuse_LCI!$L$67+'[1]Eau &amp; Energie'!K37+'[1]Eau &amp; Energie'!L37</f>
        <v>81001.080323554444</v>
      </c>
      <c r="I74" s="456"/>
      <c r="J74" s="458">
        <f>SUM(G74:I74)</f>
        <v>46751.894035942052</v>
      </c>
      <c r="K74" s="459">
        <f>E38</f>
        <v>76595.238095238106</v>
      </c>
      <c r="L74" s="460">
        <f>F38</f>
        <v>76595.238095238106</v>
      </c>
      <c r="M74" s="456"/>
      <c r="N74" s="458">
        <f>SUM(K74:M74)</f>
        <v>153190.47619047621</v>
      </c>
      <c r="O74" s="460">
        <f>O73</f>
        <v>290000</v>
      </c>
      <c r="P74" s="461">
        <f>(SUM(C$45:C74)+SUM(G$45:G74)+SUM(K$45:K74))/SUM($O$45:$O74)</f>
        <v>0.12619929129569962</v>
      </c>
      <c r="Q74" s="462">
        <f>(SUM(D$45:D74)+SUM(H$45:H74)+SUM(L$45:L74))/SUM($O$45:$O74)</f>
        <v>0.489076613254535</v>
      </c>
      <c r="R74" s="462">
        <f>(SUM(E$45:E74)+SUM(I$45:I74)+SUM(M$45:M74))/SUM($O$45:$O74)</f>
        <v>0</v>
      </c>
      <c r="S74" s="462">
        <f>SUM(P74:R74)</f>
        <v>0.61527590455023462</v>
      </c>
      <c r="T74" s="463">
        <f>S74</f>
        <v>0.61527590455023462</v>
      </c>
      <c r="U74" s="453" t="str">
        <f>TEXT(T74,"0"&amp;MID(1/3,2,1)&amp;"00")&amp;" €/m"&amp;CHAR(179)</f>
        <v>0.62 €/m³</v>
      </c>
      <c r="X74" s="452"/>
    </row>
    <row r="76" spans="1:28">
      <c r="S76" s="464"/>
    </row>
    <row r="78" spans="1:28">
      <c r="AA78" s="465"/>
      <c r="AB78" s="465"/>
    </row>
    <row r="79" spans="1:28" ht="15">
      <c r="Y79" s="466"/>
      <c r="Z79" s="466"/>
    </row>
  </sheetData>
  <mergeCells count="1">
    <mergeCell ref="B41:B43"/>
  </mergeCells>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B4B8D-75F8-4CE9-9B5B-DE3C29F6C367}">
  <sheetPr>
    <tabColor rgb="FF800074"/>
  </sheetPr>
  <dimension ref="A1:AD165"/>
  <sheetViews>
    <sheetView zoomScale="75" workbookViewId="0">
      <selection activeCell="K33" sqref="K33"/>
    </sheetView>
  </sheetViews>
  <sheetFormatPr defaultColWidth="11.42578125" defaultRowHeight="14.1"/>
  <cols>
    <col min="1" max="1" width="45" style="366" customWidth="1"/>
    <col min="2" max="2" width="39.85546875" style="366" customWidth="1"/>
    <col min="3" max="3" width="23.42578125" style="366" customWidth="1"/>
    <col min="4" max="4" width="18.5703125" style="366" customWidth="1"/>
    <col min="5" max="5" width="21.5703125" style="366" customWidth="1"/>
    <col min="6" max="6" width="17.85546875" style="366" customWidth="1"/>
    <col min="7" max="7" width="21.42578125" style="366" customWidth="1"/>
    <col min="8" max="8" width="18.42578125" style="366" customWidth="1"/>
    <col min="9" max="9" width="19.42578125" style="366" customWidth="1"/>
    <col min="10" max="14" width="15.5703125" style="366" customWidth="1"/>
    <col min="15" max="15" width="22" style="366" customWidth="1"/>
    <col min="16" max="17" width="15.5703125" style="366" customWidth="1"/>
    <col min="18" max="18" width="14.5703125" style="366" customWidth="1"/>
    <col min="19" max="22" width="15" style="366" customWidth="1"/>
    <col min="23" max="23" width="13.140625" style="366" customWidth="1"/>
    <col min="24" max="24" width="11.42578125" style="366"/>
    <col min="25" max="25" width="12" style="366" customWidth="1"/>
    <col min="26" max="30" width="11.42578125" style="366"/>
    <col min="31" max="31" width="4.42578125" style="366" customWidth="1"/>
    <col min="32" max="32" width="11.42578125" style="366"/>
    <col min="33" max="33" width="16.42578125" style="366" customWidth="1"/>
    <col min="34" max="34" width="11.42578125" style="366"/>
    <col min="35" max="35" width="3.85546875" style="366" customWidth="1"/>
    <col min="36" max="16384" width="11.42578125" style="366"/>
  </cols>
  <sheetData>
    <row r="1" spans="1:18" ht="45.6">
      <c r="A1" s="365" t="s">
        <v>716</v>
      </c>
      <c r="L1" s="366" t="str">
        <f>MID(1/3,2,1)</f>
        <v>.</v>
      </c>
    </row>
    <row r="4" spans="1:18" s="367" customFormat="1" ht="14.45" thickBot="1">
      <c r="B4" s="367" t="str">
        <f>"Price cost for reclaimation and reuse - Operation of "&amp;TEXT(D5,"0")&amp;" years ("&amp;TEXT(D30,"0 000") &amp;" m"&amp;CHAR(179)&amp;"/year)"</f>
        <v>Price cost for reclaimation and reuse - Operation of 30 years (128 000 m³/year)</v>
      </c>
    </row>
    <row r="5" spans="1:18">
      <c r="B5" s="368" t="s">
        <v>685</v>
      </c>
      <c r="C5" s="369" t="s">
        <v>686</v>
      </c>
      <c r="D5" s="370">
        <v>30</v>
      </c>
      <c r="E5" s="371"/>
      <c r="F5" s="371"/>
      <c r="G5" s="371"/>
      <c r="H5" s="371"/>
      <c r="I5" s="371"/>
      <c r="J5" s="372"/>
    </row>
    <row r="6" spans="1:18">
      <c r="B6" s="373"/>
      <c r="J6" s="374"/>
    </row>
    <row r="7" spans="1:18" ht="15.95">
      <c r="B7" s="373"/>
      <c r="E7" s="375" t="s">
        <v>717</v>
      </c>
      <c r="F7" s="375" t="s">
        <v>718</v>
      </c>
      <c r="G7" s="375" t="s">
        <v>719</v>
      </c>
      <c r="H7" s="375" t="s">
        <v>720</v>
      </c>
      <c r="I7" s="375"/>
      <c r="J7" s="376" t="s">
        <v>687</v>
      </c>
      <c r="L7" s="377" t="s">
        <v>688</v>
      </c>
      <c r="M7" s="377"/>
    </row>
    <row r="8" spans="1:18" ht="15.95">
      <c r="B8" s="378" t="s">
        <v>689</v>
      </c>
      <c r="C8" s="377" t="s">
        <v>690</v>
      </c>
      <c r="D8" s="379"/>
      <c r="E8" s="380">
        <f>SUMIF(B45:B74,D5,V45:V74)</f>
        <v>1.735014112804143</v>
      </c>
      <c r="F8" s="380">
        <f>SUMIF(B45:B74,D5,W45:W74)</f>
        <v>4.736644004010733E-2</v>
      </c>
      <c r="G8" s="380">
        <f>SUMIF(B45:B74,D5,X45:X74)</f>
        <v>0.14710467793886564</v>
      </c>
      <c r="H8" s="380">
        <f>SUMIF(B45:B74,D5,Y45:Y74)</f>
        <v>0.4706784356006623</v>
      </c>
      <c r="I8" s="380"/>
      <c r="J8" s="381">
        <f>SUM(E8:I8)</f>
        <v>2.400163666383778</v>
      </c>
      <c r="L8" s="366" t="str">
        <f>TEXT(J8,"0"&amp;MID(1/3,2,1)&amp;"00")&amp;" €/m"&amp;CHAR(179)</f>
        <v>2.40 €/m³</v>
      </c>
      <c r="M8" s="382"/>
    </row>
    <row r="9" spans="1:18" ht="14.45" thickBot="1">
      <c r="E9" s="382"/>
      <c r="F9" s="382"/>
      <c r="G9" s="382"/>
      <c r="H9" s="382"/>
      <c r="I9" s="382"/>
      <c r="J9" s="382"/>
    </row>
    <row r="10" spans="1:18">
      <c r="B10" s="383" t="s">
        <v>721</v>
      </c>
      <c r="C10" s="369"/>
      <c r="D10" s="369"/>
      <c r="E10" s="384">
        <f>E8/$J8</f>
        <v>0.72287325114716583</v>
      </c>
      <c r="F10" s="384">
        <f>F8/$J8</f>
        <v>1.9734670890786496E-2</v>
      </c>
      <c r="G10" s="384">
        <f>G8/$J8</f>
        <v>6.128943621603182E-2</v>
      </c>
      <c r="H10" s="384">
        <f>H8/$J8</f>
        <v>0.19610264174601602</v>
      </c>
      <c r="I10" s="384"/>
      <c r="J10" s="385"/>
      <c r="K10" s="386">
        <f>J10-SUM(E10:I10)</f>
        <v>-1.0000000000000002</v>
      </c>
    </row>
    <row r="11" spans="1:18">
      <c r="E11" s="382"/>
      <c r="F11" s="382"/>
      <c r="G11" s="382"/>
      <c r="H11" s="382"/>
      <c r="I11" s="382"/>
      <c r="J11" s="382"/>
    </row>
    <row r="12" spans="1:18">
      <c r="E12" s="382"/>
      <c r="F12" s="382"/>
      <c r="G12" s="382"/>
      <c r="H12" s="382"/>
      <c r="I12" s="382"/>
      <c r="J12" s="382"/>
    </row>
    <row r="15" spans="1:18" s="367" customFormat="1" ht="14.45" thickBot="1">
      <c r="B15" s="367" t="s">
        <v>722</v>
      </c>
    </row>
    <row r="16" spans="1:18">
      <c r="B16" s="368"/>
      <c r="C16" s="371"/>
      <c r="D16" s="387" t="s">
        <v>384</v>
      </c>
      <c r="E16" s="375" t="s">
        <v>717</v>
      </c>
      <c r="F16" s="375" t="s">
        <v>718</v>
      </c>
      <c r="G16" s="375" t="s">
        <v>719</v>
      </c>
      <c r="H16" s="375" t="s">
        <v>720</v>
      </c>
      <c r="I16" s="388"/>
      <c r="J16" s="388"/>
      <c r="K16" s="388"/>
      <c r="L16" s="388"/>
      <c r="M16" s="388"/>
      <c r="N16" s="388"/>
      <c r="O16" s="388"/>
      <c r="P16" s="388"/>
      <c r="Q16" s="388"/>
      <c r="R16" s="389"/>
    </row>
    <row r="17" spans="2:18">
      <c r="B17" s="378" t="s">
        <v>693</v>
      </c>
      <c r="C17" s="379"/>
      <c r="D17" s="390">
        <f>SUM(E17:I17)</f>
        <v>1231200</v>
      </c>
      <c r="E17" s="391">
        <f>E18</f>
        <v>85000</v>
      </c>
      <c r="F17" s="391">
        <f>F18</f>
        <v>108200</v>
      </c>
      <c r="G17" s="391">
        <f>G18</f>
        <v>312000</v>
      </c>
      <c r="H17" s="391">
        <f>H18</f>
        <v>726000</v>
      </c>
      <c r="I17" s="388"/>
      <c r="J17" s="388"/>
      <c r="K17" s="388"/>
      <c r="L17" s="388"/>
      <c r="M17" s="388"/>
      <c r="N17" s="388"/>
      <c r="O17" s="388"/>
      <c r="P17" s="388"/>
      <c r="Q17" s="388"/>
      <c r="R17" s="389"/>
    </row>
    <row r="18" spans="2:18" ht="14.45">
      <c r="B18" s="393" t="s">
        <v>723</v>
      </c>
      <c r="C18" s="394" t="s">
        <v>156</v>
      </c>
      <c r="D18" s="395">
        <f>SUM(E18:I18)</f>
        <v>1231200</v>
      </c>
      <c r="E18" s="396">
        <f>[1]Reuse_LCI!L35+[1]Reuse_LCI!L45/2</f>
        <v>85000</v>
      </c>
      <c r="F18" s="396">
        <f>[1]Reuse_LCI!L42+[1]Reuse_LCI!L45/2</f>
        <v>108200</v>
      </c>
      <c r="G18" s="396">
        <f>[1]Reuse_LCI!L49+[1]Reuse_LCI!L52</f>
        <v>312000</v>
      </c>
      <c r="H18" s="396">
        <f>[1]Reuse_LCI!L54+[1]Reuse_LCI!L55</f>
        <v>726000</v>
      </c>
      <c r="I18" s="399"/>
      <c r="J18" s="399"/>
      <c r="K18" s="400"/>
      <c r="L18" s="400"/>
      <c r="M18" s="400"/>
      <c r="N18" s="400"/>
      <c r="O18" s="400"/>
      <c r="P18" s="400"/>
      <c r="Q18" s="400"/>
    </row>
    <row r="19" spans="2:18">
      <c r="B19" s="393" t="s">
        <v>724</v>
      </c>
      <c r="C19" s="394" t="s">
        <v>725</v>
      </c>
      <c r="D19" s="401"/>
      <c r="E19" s="401"/>
      <c r="F19" s="401"/>
      <c r="G19" s="401"/>
      <c r="H19" s="401"/>
      <c r="I19" s="399"/>
      <c r="J19" s="399"/>
      <c r="K19" s="400"/>
      <c r="L19" s="400"/>
      <c r="M19" s="400"/>
      <c r="N19" s="400"/>
      <c r="O19" s="400"/>
      <c r="P19" s="400"/>
      <c r="Q19" s="400"/>
    </row>
    <row r="20" spans="2:18" ht="14.45">
      <c r="B20" s="393"/>
      <c r="C20" s="394" t="s">
        <v>156</v>
      </c>
      <c r="D20" s="395">
        <f>SUM(E20:I20)</f>
        <v>0</v>
      </c>
      <c r="E20" s="397"/>
      <c r="F20" s="397"/>
      <c r="G20" s="397"/>
      <c r="H20" s="397"/>
      <c r="I20" s="399"/>
      <c r="J20" s="399"/>
      <c r="K20" s="400"/>
      <c r="L20" s="400"/>
      <c r="M20" s="400"/>
      <c r="N20" s="400"/>
      <c r="O20" s="400"/>
      <c r="P20" s="400"/>
      <c r="Q20" s="400"/>
    </row>
    <row r="21" spans="2:18">
      <c r="B21" s="393" t="s">
        <v>726</v>
      </c>
      <c r="C21" s="394" t="s">
        <v>725</v>
      </c>
      <c r="D21" s="401"/>
      <c r="E21" s="401"/>
      <c r="F21" s="401"/>
      <c r="G21" s="401"/>
      <c r="H21" s="401"/>
      <c r="I21" s="399"/>
      <c r="J21" s="399"/>
      <c r="K21" s="400"/>
      <c r="L21" s="400"/>
      <c r="M21" s="400"/>
      <c r="N21" s="400"/>
      <c r="O21" s="400"/>
      <c r="P21" s="400"/>
      <c r="Q21" s="400"/>
    </row>
    <row r="22" spans="2:18" ht="14.45">
      <c r="B22" s="393"/>
      <c r="C22" s="394" t="s">
        <v>156</v>
      </c>
      <c r="D22" s="395">
        <f>SUM(E22:I22)</f>
        <v>0</v>
      </c>
      <c r="E22" s="397"/>
      <c r="F22" s="397"/>
      <c r="G22" s="397"/>
      <c r="H22" s="397"/>
      <c r="I22" s="399"/>
      <c r="J22" s="399"/>
      <c r="K22" s="400"/>
      <c r="L22" s="400"/>
      <c r="M22" s="400"/>
      <c r="N22" s="400"/>
      <c r="O22" s="400"/>
      <c r="P22" s="400"/>
      <c r="Q22" s="400"/>
    </row>
    <row r="23" spans="2:18">
      <c r="B23" s="378" t="s">
        <v>727</v>
      </c>
      <c r="C23" s="379" t="s">
        <v>560</v>
      </c>
      <c r="D23" s="379"/>
      <c r="E23" s="403">
        <v>20</v>
      </c>
      <c r="F23" s="403">
        <v>20</v>
      </c>
      <c r="G23" s="403">
        <v>20</v>
      </c>
      <c r="H23" s="403">
        <v>20</v>
      </c>
      <c r="I23" s="399"/>
      <c r="J23" s="399"/>
      <c r="K23" s="400"/>
      <c r="L23" s="400"/>
      <c r="M23" s="400"/>
      <c r="N23" s="400"/>
      <c r="O23" s="400"/>
      <c r="P23" s="400"/>
      <c r="Q23" s="400"/>
    </row>
    <row r="24" spans="2:18">
      <c r="B24" s="378" t="s">
        <v>728</v>
      </c>
      <c r="C24" s="379" t="s">
        <v>686</v>
      </c>
      <c r="D24" s="379"/>
      <c r="E24" s="406">
        <v>1.4999999999999999E-2</v>
      </c>
      <c r="F24" s="406">
        <v>1.4999999999999999E-2</v>
      </c>
      <c r="G24" s="406">
        <v>1.4999999999999999E-2</v>
      </c>
      <c r="H24" s="406">
        <v>1.4999999999999999E-2</v>
      </c>
      <c r="I24" s="399"/>
      <c r="J24" s="399"/>
      <c r="K24" s="400"/>
      <c r="L24" s="400"/>
      <c r="M24" s="400"/>
      <c r="N24" s="400"/>
      <c r="O24" s="400"/>
      <c r="P24" s="400"/>
      <c r="Q24" s="400"/>
    </row>
    <row r="25" spans="2:18">
      <c r="B25" s="378" t="s">
        <v>685</v>
      </c>
      <c r="C25" s="379" t="s">
        <v>686</v>
      </c>
      <c r="D25" s="379"/>
      <c r="E25" s="403">
        <v>30</v>
      </c>
      <c r="F25" s="403">
        <v>30</v>
      </c>
      <c r="G25" s="403">
        <v>30</v>
      </c>
      <c r="H25" s="403">
        <v>30</v>
      </c>
      <c r="I25" s="399"/>
      <c r="J25" s="399"/>
      <c r="K25" s="400"/>
      <c r="L25" s="400"/>
      <c r="M25" s="400"/>
      <c r="N25" s="400"/>
      <c r="O25" s="400"/>
      <c r="P25" s="400"/>
      <c r="Q25" s="400"/>
    </row>
    <row r="26" spans="2:18">
      <c r="B26" s="409" t="s">
        <v>729</v>
      </c>
      <c r="C26" s="410" t="s">
        <v>170</v>
      </c>
      <c r="D26" s="390">
        <f>SUM(E26:I26)</f>
        <v>71712.150008643483</v>
      </c>
      <c r="E26" s="411">
        <f>E17*MAX(E24,0.0000001)/(1-(1+MAX(E24,0.0000001))^(-E23))</f>
        <v>4950.8875493296755</v>
      </c>
      <c r="F26" s="411">
        <f>F17*MAX(F24,0.0000001)/(1-(1+MAX(F24,0.0000001))^(-F23))</f>
        <v>6302.1886216173043</v>
      </c>
      <c r="G26" s="411">
        <f>G17*MAX(G24,0.0000001)/(1-(1+MAX(G24,0.0000001))^(-G23))</f>
        <v>18172.66959283363</v>
      </c>
      <c r="H26" s="411">
        <f>H17*MAX(H24,0.0000001)/(1-(1+MAX(H24,0.0000001))^(-H23))</f>
        <v>42286.404244862875</v>
      </c>
      <c r="I26" s="399"/>
      <c r="J26" s="399"/>
      <c r="K26" s="400"/>
      <c r="L26" s="400"/>
      <c r="M26" s="400"/>
      <c r="N26" s="400"/>
      <c r="O26" s="400"/>
      <c r="P26" s="400"/>
      <c r="Q26" s="400"/>
    </row>
    <row r="28" spans="2:18">
      <c r="E28" s="413"/>
      <c r="F28" s="413"/>
      <c r="G28" s="413"/>
      <c r="H28" s="413"/>
      <c r="I28" s="413"/>
      <c r="J28" s="413"/>
      <c r="K28" s="413"/>
      <c r="L28" s="413"/>
      <c r="M28" s="413"/>
      <c r="N28" s="413"/>
      <c r="O28" s="413"/>
      <c r="P28" s="413"/>
      <c r="Q28" s="413"/>
    </row>
    <row r="29" spans="2:18" s="367" customFormat="1" ht="14.45" thickBot="1">
      <c r="B29" s="367" t="s">
        <v>730</v>
      </c>
    </row>
    <row r="30" spans="2:18" ht="14.45" thickBot="1">
      <c r="B30" s="414" t="s">
        <v>731</v>
      </c>
      <c r="C30" s="415" t="s">
        <v>732</v>
      </c>
      <c r="D30" s="416">
        <v>128000</v>
      </c>
      <c r="E30" s="413"/>
      <c r="F30" s="413"/>
      <c r="G30" s="413"/>
      <c r="H30" s="413"/>
      <c r="I30" s="413"/>
      <c r="J30" s="413"/>
      <c r="K30" s="413"/>
      <c r="L30" s="413"/>
      <c r="M30" s="413"/>
      <c r="N30" s="413"/>
      <c r="O30" s="413"/>
      <c r="P30" s="413"/>
      <c r="Q30" s="413"/>
    </row>
    <row r="31" spans="2:18" ht="14.45" thickBot="1">
      <c r="B31" s="413"/>
      <c r="C31" s="413"/>
      <c r="D31" s="413"/>
      <c r="E31" s="413"/>
      <c r="F31" s="413"/>
      <c r="G31" s="413"/>
      <c r="H31" s="413"/>
      <c r="I31" s="413"/>
      <c r="J31" s="413"/>
      <c r="K31" s="413"/>
      <c r="L31" s="413"/>
      <c r="M31" s="413"/>
      <c r="N31" s="413"/>
      <c r="O31" s="413"/>
      <c r="P31" s="413"/>
      <c r="Q31" s="413"/>
    </row>
    <row r="32" spans="2:18">
      <c r="B32" s="368"/>
      <c r="C32" s="371"/>
      <c r="D32" s="371"/>
      <c r="E32" s="375" t="s">
        <v>717</v>
      </c>
      <c r="F32" s="375" t="s">
        <v>718</v>
      </c>
      <c r="G32" s="375" t="s">
        <v>719</v>
      </c>
      <c r="H32" s="375" t="s">
        <v>720</v>
      </c>
      <c r="I32" s="388"/>
      <c r="J32" s="388"/>
      <c r="K32" s="388"/>
      <c r="L32" s="388"/>
      <c r="M32" s="388"/>
      <c r="N32" s="388"/>
      <c r="O32" s="388"/>
      <c r="P32" s="388"/>
      <c r="Q32" s="388"/>
      <c r="R32" s="389"/>
    </row>
    <row r="33" spans="1:30" ht="14.45" thickBot="1">
      <c r="B33" s="417" t="s">
        <v>704</v>
      </c>
      <c r="C33" s="418" t="s">
        <v>733</v>
      </c>
      <c r="D33" s="418"/>
      <c r="E33" s="419" t="s">
        <v>705</v>
      </c>
      <c r="F33" s="419" t="s">
        <v>705</v>
      </c>
      <c r="G33" s="419" t="s">
        <v>705</v>
      </c>
      <c r="H33" s="419" t="s">
        <v>705</v>
      </c>
      <c r="I33" s="420"/>
      <c r="J33" s="420"/>
      <c r="K33" s="420"/>
      <c r="L33" s="420"/>
      <c r="M33" s="420"/>
      <c r="N33" s="420"/>
      <c r="O33" s="420"/>
      <c r="P33" s="420"/>
      <c r="Q33" s="420"/>
    </row>
    <row r="34" spans="1:30" ht="14.45" thickBot="1">
      <c r="B34" s="421" t="s">
        <v>706</v>
      </c>
      <c r="C34" s="422" t="s">
        <v>733</v>
      </c>
      <c r="D34" s="422"/>
      <c r="E34" s="423">
        <f>SUM(E33)</f>
        <v>0</v>
      </c>
      <c r="F34" s="423">
        <f>SUM(F33)</f>
        <v>0</v>
      </c>
      <c r="G34" s="423">
        <f>SUM(G33)</f>
        <v>0</v>
      </c>
      <c r="H34" s="423"/>
      <c r="I34" s="425"/>
      <c r="J34" s="425"/>
      <c r="K34" s="425"/>
      <c r="L34" s="425"/>
      <c r="M34" s="425"/>
      <c r="N34" s="425"/>
      <c r="O34" s="425"/>
      <c r="P34" s="425"/>
      <c r="Q34" s="425"/>
    </row>
    <row r="36" spans="1:30">
      <c r="A36" s="367"/>
      <c r="B36" s="367" t="s">
        <v>734</v>
      </c>
      <c r="C36" s="367"/>
      <c r="D36" s="367"/>
      <c r="E36" s="367"/>
      <c r="F36" s="367"/>
      <c r="G36" s="367"/>
      <c r="H36" s="367"/>
      <c r="I36" s="367"/>
      <c r="J36" s="367"/>
      <c r="K36" s="367"/>
      <c r="L36" s="367"/>
      <c r="M36" s="367"/>
      <c r="N36" s="367"/>
      <c r="O36" s="367"/>
    </row>
    <row r="37" spans="1:30">
      <c r="E37" s="375" t="s">
        <v>717</v>
      </c>
      <c r="F37" s="375" t="s">
        <v>718</v>
      </c>
      <c r="G37" s="375" t="s">
        <v>719</v>
      </c>
      <c r="H37" s="375" t="s">
        <v>720</v>
      </c>
    </row>
    <row r="38" spans="1:30" ht="14.45" thickBot="1">
      <c r="E38" s="419" t="s">
        <v>735</v>
      </c>
      <c r="F38" s="419">
        <f>[1]Reuse_LCI!L154+[1]Reuse_LCI!L155</f>
        <v>2500</v>
      </c>
      <c r="G38" s="419">
        <f>[1]Reuse_LCI!L158</f>
        <v>21428.571428571428</v>
      </c>
      <c r="H38" s="419" t="s">
        <v>735</v>
      </c>
    </row>
    <row r="40" spans="1:30" s="367" customFormat="1" ht="14.45" thickBot="1">
      <c r="B40" s="367" t="s">
        <v>736</v>
      </c>
      <c r="E40" s="426"/>
    </row>
    <row r="41" spans="1:30">
      <c r="B41" s="476" t="s">
        <v>737</v>
      </c>
      <c r="C41" s="427" t="s">
        <v>738</v>
      </c>
      <c r="D41" s="427"/>
      <c r="E41" s="427"/>
      <c r="F41" s="427"/>
      <c r="G41" s="427"/>
      <c r="H41" s="427"/>
      <c r="I41" s="428"/>
      <c r="J41" s="427"/>
      <c r="K41" s="427" t="s">
        <v>704</v>
      </c>
      <c r="L41" s="427"/>
      <c r="M41" s="427"/>
      <c r="N41" s="429"/>
      <c r="O41" s="428"/>
      <c r="P41" s="427"/>
      <c r="Q41" s="427" t="s">
        <v>712</v>
      </c>
      <c r="R41" s="427"/>
      <c r="S41" s="427"/>
      <c r="T41" s="429"/>
      <c r="U41" s="427" t="s">
        <v>713</v>
      </c>
      <c r="V41" s="428"/>
      <c r="W41" s="427"/>
      <c r="X41" s="427" t="s">
        <v>739</v>
      </c>
      <c r="Y41" s="427"/>
      <c r="Z41" s="427"/>
      <c r="AA41" s="427"/>
      <c r="AB41" s="427"/>
    </row>
    <row r="42" spans="1:30">
      <c r="B42" s="477"/>
      <c r="C42" s="430"/>
      <c r="D42" s="431"/>
      <c r="E42" s="431"/>
      <c r="F42" s="431"/>
      <c r="G42" s="431"/>
      <c r="H42" s="431"/>
      <c r="I42" s="430"/>
      <c r="J42" s="431"/>
      <c r="K42" s="431"/>
      <c r="L42" s="431"/>
      <c r="M42" s="431"/>
      <c r="N42" s="432"/>
      <c r="O42" s="430"/>
      <c r="P42" s="431"/>
      <c r="Q42" s="431"/>
      <c r="R42" s="431"/>
      <c r="S42" s="431"/>
      <c r="T42" s="432"/>
      <c r="U42" s="431"/>
      <c r="V42" s="430"/>
      <c r="W42" s="431"/>
      <c r="X42" s="431"/>
      <c r="Y42" s="431"/>
      <c r="Z42" s="431"/>
      <c r="AA42" s="431"/>
      <c r="AB42" s="431"/>
    </row>
    <row r="43" spans="1:30" ht="51" customHeight="1" thickBot="1">
      <c r="B43" s="478"/>
      <c r="C43" s="375" t="s">
        <v>717</v>
      </c>
      <c r="D43" s="375" t="s">
        <v>718</v>
      </c>
      <c r="E43" s="375" t="s">
        <v>719</v>
      </c>
      <c r="F43" s="375" t="s">
        <v>720</v>
      </c>
      <c r="G43" s="375"/>
      <c r="H43" s="433" t="s">
        <v>687</v>
      </c>
      <c r="I43" s="375" t="s">
        <v>717</v>
      </c>
      <c r="J43" s="375" t="s">
        <v>718</v>
      </c>
      <c r="K43" s="375" t="s">
        <v>719</v>
      </c>
      <c r="L43" s="375" t="s">
        <v>720</v>
      </c>
      <c r="M43" s="375"/>
      <c r="N43" s="434" t="s">
        <v>687</v>
      </c>
      <c r="O43" s="375" t="s">
        <v>717</v>
      </c>
      <c r="P43" s="375" t="s">
        <v>718</v>
      </c>
      <c r="Q43" s="375" t="s">
        <v>719</v>
      </c>
      <c r="R43" s="375" t="s">
        <v>720</v>
      </c>
      <c r="S43" s="375"/>
      <c r="T43" s="434" t="s">
        <v>687</v>
      </c>
      <c r="U43" s="433" t="s">
        <v>740</v>
      </c>
      <c r="V43" s="375" t="s">
        <v>717</v>
      </c>
      <c r="W43" s="375" t="s">
        <v>718</v>
      </c>
      <c r="X43" s="375" t="s">
        <v>719</v>
      </c>
      <c r="Y43" s="375" t="s">
        <v>720</v>
      </c>
      <c r="Z43" s="375"/>
      <c r="AA43" s="433" t="s">
        <v>687</v>
      </c>
      <c r="AB43" s="433"/>
    </row>
    <row r="44" spans="1:30" ht="11.25" customHeight="1" thickBot="1">
      <c r="A44" s="366">
        <v>2025</v>
      </c>
      <c r="B44" s="435">
        <v>0</v>
      </c>
      <c r="C44" s="436"/>
      <c r="D44" s="388"/>
      <c r="E44" s="388"/>
      <c r="F44" s="388"/>
      <c r="G44" s="388"/>
      <c r="H44" s="388"/>
      <c r="I44" s="436"/>
      <c r="J44" s="388"/>
      <c r="K44" s="388"/>
      <c r="L44" s="388"/>
      <c r="M44" s="388"/>
      <c r="N44" s="437"/>
      <c r="O44" s="436"/>
      <c r="P44" s="388"/>
      <c r="Q44" s="388"/>
      <c r="R44" s="388"/>
      <c r="S44" s="388"/>
      <c r="T44" s="437"/>
      <c r="U44" s="388"/>
      <c r="V44" s="436"/>
      <c r="W44" s="388"/>
      <c r="X44" s="388"/>
      <c r="Y44" s="388"/>
      <c r="Z44" s="388"/>
      <c r="AA44" s="388"/>
      <c r="AB44" s="388"/>
    </row>
    <row r="45" spans="1:30">
      <c r="A45" s="366">
        <v>2026</v>
      </c>
      <c r="B45" s="438">
        <v>1</v>
      </c>
      <c r="C45" s="439">
        <f>$E$26</f>
        <v>4950.8875493296755</v>
      </c>
      <c r="D45" s="440">
        <f>F26</f>
        <v>6302.1886216173043</v>
      </c>
      <c r="E45" s="440">
        <f>G26</f>
        <v>18172.66959283363</v>
      </c>
      <c r="F45" s="440">
        <f>H26</f>
        <v>42286.404244862875</v>
      </c>
      <c r="G45" s="440"/>
      <c r="H45" s="441">
        <f>SUM(C45:G45)</f>
        <v>71712.150008643483</v>
      </c>
      <c r="I45" s="439">
        <f>SUM([1]Reuse_LCI!$L$73:$L$83)+'[1]Eau &amp; Energie'!M8+'[1]Eau &amp; Energie'!N8</f>
        <v>216719.98447139107</v>
      </c>
      <c r="J45" s="440">
        <f>'[1]Eau &amp; Energie'!O8</f>
        <v>1016.44032</v>
      </c>
      <c r="K45" s="440">
        <f>[1]Reuse_LCI!$L$90</f>
        <v>6000</v>
      </c>
      <c r="L45" s="440">
        <f>[1]Reuse_LCI!$L$96+'[1]Eau &amp; Energie'!P8</f>
        <v>27654.12</v>
      </c>
      <c r="M45" s="440"/>
      <c r="N45" s="442">
        <f>SUM(I45:M45)</f>
        <v>251390.54479139106</v>
      </c>
      <c r="O45" s="443">
        <v>0</v>
      </c>
      <c r="P45" s="444">
        <v>0</v>
      </c>
      <c r="Q45" s="444">
        <v>0</v>
      </c>
      <c r="R45" s="444">
        <v>0</v>
      </c>
      <c r="S45" s="440"/>
      <c r="T45" s="442">
        <f>SUM(O45:S45)</f>
        <v>0</v>
      </c>
      <c r="U45" s="425">
        <f>$D$30</f>
        <v>128000</v>
      </c>
      <c r="V45" s="445">
        <f>(SUM(C$45:C45)+SUM(I$45:I45)+SUM(O$45:O45))/SUM($U$45:$U45)</f>
        <v>1.7318036876618808</v>
      </c>
      <c r="W45" s="446">
        <f>(SUM(D$45:D45)+SUM(J$45:J45)+SUM(P$45:P45))/SUM($U$45:$U45)</f>
        <v>5.7176788606385184E-2</v>
      </c>
      <c r="X45" s="446">
        <f>(SUM(E$45:E45)+SUM(K$45:K45)+SUM(Q$45:Q45))/SUM($U$45:$U45)</f>
        <v>0.18884898119401275</v>
      </c>
      <c r="Y45" s="446">
        <f>(SUM(F$45:F45)+SUM(L$45:L45)+SUM(R$45:R45))/SUM($U$45:$U45)</f>
        <v>0.54641034566299118</v>
      </c>
      <c r="Z45" s="446"/>
      <c r="AA45" s="446">
        <f>SUM(V45:Y45)</f>
        <v>2.52423980312527</v>
      </c>
      <c r="AB45" s="446"/>
      <c r="AD45" s="446"/>
    </row>
    <row r="46" spans="1:30">
      <c r="A46" s="366">
        <v>2027</v>
      </c>
      <c r="B46" s="438">
        <v>2</v>
      </c>
      <c r="C46" s="447">
        <f>$E$26</f>
        <v>4950.8875493296755</v>
      </c>
      <c r="D46" s="448">
        <f t="shared" ref="D46:D64" si="0">$F$26</f>
        <v>6302.1886216173043</v>
      </c>
      <c r="E46" s="448">
        <f>$G$26</f>
        <v>18172.66959283363</v>
      </c>
      <c r="F46" s="448">
        <f>$H$26</f>
        <v>42286.404244862875</v>
      </c>
      <c r="G46" s="448"/>
      <c r="H46" s="449">
        <f>SUM(C46:G46)</f>
        <v>71712.150008643483</v>
      </c>
      <c r="I46" s="447">
        <f>SUM([1]Reuse_LCI!$L$73:$L$83)+'[1]Eau &amp; Energie'!M9+'[1]Eau &amp; Energie'!N9</f>
        <v>216819.00908099106</v>
      </c>
      <c r="J46" s="448">
        <f>'[1]Eau &amp; Energie'!O9</f>
        <v>1053.03217152</v>
      </c>
      <c r="K46" s="448">
        <f>[1]Reuse_LCI!$L$90</f>
        <v>6000</v>
      </c>
      <c r="L46" s="448">
        <f>[1]Reuse_LCI!$L$96+'[1]Eau &amp; Energie'!P9</f>
        <v>27865.588319999999</v>
      </c>
      <c r="M46" s="448"/>
      <c r="N46" s="450">
        <f>SUM(I46:M46)</f>
        <v>251737.62957251107</v>
      </c>
      <c r="O46" s="451">
        <v>0</v>
      </c>
      <c r="P46" s="425">
        <v>0</v>
      </c>
      <c r="Q46" s="425">
        <v>0</v>
      </c>
      <c r="R46" s="425">
        <v>0</v>
      </c>
      <c r="S46" s="448"/>
      <c r="T46" s="450">
        <f>SUM(O46:S46)</f>
        <v>0</v>
      </c>
      <c r="U46" s="425">
        <f t="shared" ref="U46:U74" si="1">U45</f>
        <v>128000</v>
      </c>
      <c r="V46" s="445">
        <f>(SUM(C$45:C46)+SUM(I$45:I46)+SUM(O$45:O46))/SUM($U$45:$U46)</f>
        <v>1.7321905025431306</v>
      </c>
      <c r="W46" s="446">
        <f>(SUM(D$45:D46)+SUM(J$45:J46)+SUM(P$45:P46))/SUM($U$45:$U46)</f>
        <v>5.7319725526385194E-2</v>
      </c>
      <c r="X46" s="446">
        <f>(SUM(E$45:E46)+SUM(K$45:K46)+SUM(Q$45:Q46))/SUM($U$45:$U46)</f>
        <v>0.18884898119401275</v>
      </c>
      <c r="Y46" s="446">
        <f>(SUM(F$45:F46)+SUM(L$45:L46)+SUM(R$45:R46))/SUM($U$45:$U46)</f>
        <v>0.54723639378799127</v>
      </c>
      <c r="Z46" s="446"/>
      <c r="AA46" s="446">
        <f t="shared" ref="AA46:AA74" si="2">SUM(V46:Y46)</f>
        <v>2.5255956030515199</v>
      </c>
      <c r="AB46" s="452"/>
      <c r="AD46" s="452"/>
    </row>
    <row r="47" spans="1:30">
      <c r="A47" s="366">
        <v>2028</v>
      </c>
      <c r="B47" s="438">
        <v>3</v>
      </c>
      <c r="C47" s="447">
        <f t="shared" ref="C47:C64" si="3">$E$26</f>
        <v>4950.8875493296755</v>
      </c>
      <c r="D47" s="448">
        <f t="shared" si="0"/>
        <v>6302.1886216173043</v>
      </c>
      <c r="E47" s="448">
        <f t="shared" ref="E47:E64" si="4">$G$26</f>
        <v>18172.66959283363</v>
      </c>
      <c r="F47" s="448">
        <f t="shared" ref="F47:F64" si="5">$H$26</f>
        <v>42286.404244862875</v>
      </c>
      <c r="G47" s="448"/>
      <c r="H47" s="449">
        <f t="shared" ref="H47:H74" si="6">SUM(C47:G47)</f>
        <v>71712.150008643483</v>
      </c>
      <c r="I47" s="447">
        <f>SUM([1]Reuse_LCI!$L$73:$L$83)+'[1]Eau &amp; Energie'!M10+'[1]Eau &amp; Energie'!N10</f>
        <v>216921.59857653666</v>
      </c>
      <c r="J47" s="448">
        <f>'[1]Eau &amp; Energie'!O10</f>
        <v>1090.9413296947198</v>
      </c>
      <c r="K47" s="448">
        <f>[1]Reuse_LCI!$L$90</f>
        <v>6000</v>
      </c>
      <c r="L47" s="448">
        <f>[1]Reuse_LCI!$L$96+'[1]Eau &amp; Energie'!P10</f>
        <v>28084.669499520001</v>
      </c>
      <c r="M47" s="448"/>
      <c r="N47" s="450">
        <f t="shared" ref="N47:N74" si="7">SUM(I47:M47)</f>
        <v>252097.2094057514</v>
      </c>
      <c r="O47" s="451">
        <v>0</v>
      </c>
      <c r="P47" s="425">
        <v>0</v>
      </c>
      <c r="Q47" s="425">
        <v>0</v>
      </c>
      <c r="R47" s="425">
        <v>0</v>
      </c>
      <c r="S47" s="448"/>
      <c r="T47" s="450">
        <f t="shared" ref="T47:T74" si="8">SUM(O47:S47)</f>
        <v>0</v>
      </c>
      <c r="U47" s="425">
        <f t="shared" si="1"/>
        <v>128000</v>
      </c>
      <c r="V47" s="445">
        <f>(SUM(C$45:C47)+SUM(I$45:I47)+SUM(O$45:O47))/SUM($U$45:$U47)</f>
        <v>1.7325866009815305</v>
      </c>
      <c r="W47" s="446">
        <f>(SUM(D$45:D47)+SUM(J$45:J47)+SUM(P$45:P47))/SUM($U$45:$U47)</f>
        <v>5.7466092932465185E-2</v>
      </c>
      <c r="X47" s="446">
        <f>(SUM(E$45:E47)+SUM(K$45:K47)+SUM(Q$45:Q47))/SUM($U$45:$U47)</f>
        <v>0.18884898119401275</v>
      </c>
      <c r="Y47" s="446">
        <f>(SUM(F$45:F47)+SUM(L$45:L47)+SUM(R$45:R47))/SUM($U$45:$U47)</f>
        <v>0.54808226706799112</v>
      </c>
      <c r="Z47" s="446"/>
      <c r="AA47" s="446">
        <f t="shared" si="2"/>
        <v>2.5269839421759999</v>
      </c>
      <c r="AB47" s="452"/>
      <c r="AD47" s="452"/>
    </row>
    <row r="48" spans="1:30">
      <c r="A48" s="366">
        <v>2029</v>
      </c>
      <c r="B48" s="438">
        <v>4</v>
      </c>
      <c r="C48" s="447">
        <f t="shared" si="3"/>
        <v>4950.8875493296755</v>
      </c>
      <c r="D48" s="448">
        <f t="shared" si="0"/>
        <v>6302.1886216173043</v>
      </c>
      <c r="E48" s="448">
        <f t="shared" si="4"/>
        <v>18172.66959283363</v>
      </c>
      <c r="F48" s="448">
        <f t="shared" si="5"/>
        <v>42286.404244862875</v>
      </c>
      <c r="G48" s="448"/>
      <c r="H48" s="449">
        <f t="shared" si="6"/>
        <v>71712.150008643483</v>
      </c>
      <c r="I48" s="447">
        <f>SUM([1]Reuse_LCI!$L$73:$L$83)+'[1]Eau &amp; Energie'!M11+'[1]Eau &amp; Energie'!N11</f>
        <v>217027.88129392188</v>
      </c>
      <c r="J48" s="448">
        <f>'[1]Eau &amp; Energie'!O11</f>
        <v>1130.21521756373</v>
      </c>
      <c r="K48" s="448">
        <f>[1]Reuse_LCI!$L$90</f>
        <v>6000</v>
      </c>
      <c r="L48" s="448">
        <f>[1]Reuse_LCI!$L$96+'[1]Eau &amp; Energie'!P11</f>
        <v>28311.63760150272</v>
      </c>
      <c r="M48" s="448"/>
      <c r="N48" s="450">
        <f t="shared" si="7"/>
        <v>252469.73411298834</v>
      </c>
      <c r="O48" s="451">
        <v>0</v>
      </c>
      <c r="P48" s="425">
        <v>0</v>
      </c>
      <c r="Q48" s="425">
        <v>0</v>
      </c>
      <c r="R48" s="425">
        <v>0</v>
      </c>
      <c r="S48" s="448"/>
      <c r="T48" s="450">
        <f t="shared" si="8"/>
        <v>0</v>
      </c>
      <c r="U48" s="425">
        <f t="shared" si="1"/>
        <v>128000</v>
      </c>
      <c r="V48" s="445">
        <f>(SUM(C$45:C48)+SUM(I$45:I48)+SUM(O$45:O48))/SUM($U$45:$U48)</f>
        <v>1.7329922336331236</v>
      </c>
      <c r="W48" s="446">
        <f>(SUM(D$45:D48)+SUM(J$45:J48)+SUM(P$45:P48))/SUM($U$45:$U48)</f>
        <v>5.7615983447749347E-2</v>
      </c>
      <c r="X48" s="446">
        <f>(SUM(E$45:E48)+SUM(K$45:K48)+SUM(Q$45:Q48))/SUM($U$45:$U48)</f>
        <v>0.18884898119401275</v>
      </c>
      <c r="Y48" s="446">
        <f>(SUM(F$45:F48)+SUM(L$45:L48)+SUM(R$45:R48))/SUM($U$45:$U48)</f>
        <v>0.54894850078217616</v>
      </c>
      <c r="Z48" s="446"/>
      <c r="AA48" s="446">
        <f t="shared" si="2"/>
        <v>2.5284056990570623</v>
      </c>
      <c r="AB48" s="452"/>
      <c r="AD48" s="452"/>
    </row>
    <row r="49" spans="1:30">
      <c r="A49" s="366">
        <v>2030</v>
      </c>
      <c r="B49" s="438">
        <v>5</v>
      </c>
      <c r="C49" s="447">
        <f t="shared" si="3"/>
        <v>4950.8875493296755</v>
      </c>
      <c r="D49" s="448">
        <f t="shared" si="0"/>
        <v>6302.1886216173043</v>
      </c>
      <c r="E49" s="448">
        <f t="shared" si="4"/>
        <v>18172.66959283363</v>
      </c>
      <c r="F49" s="448">
        <f t="shared" si="5"/>
        <v>42286.404244862875</v>
      </c>
      <c r="G49" s="448"/>
      <c r="H49" s="449">
        <f t="shared" si="6"/>
        <v>71712.150008643483</v>
      </c>
      <c r="I49" s="447">
        <f>SUM([1]Reuse_LCI!$L$73:$L$83)+'[1]Eau &amp; Energie'!M12+'[1]Eau &amp; Energie'!N12</f>
        <v>217137.99018913301</v>
      </c>
      <c r="J49" s="448">
        <f>'[1]Eau &amp; Energie'!O12</f>
        <v>1170.9029653960242</v>
      </c>
      <c r="K49" s="448">
        <f>[1]Reuse_LCI!$L$90</f>
        <v>6000</v>
      </c>
      <c r="L49" s="448">
        <f>[1]Reuse_LCI!$L$96+'[1]Eau &amp; Energie'!P12</f>
        <v>28546.776555156815</v>
      </c>
      <c r="M49" s="448"/>
      <c r="N49" s="450">
        <f t="shared" si="7"/>
        <v>252855.66970968584</v>
      </c>
      <c r="O49" s="451">
        <v>0</v>
      </c>
      <c r="P49" s="425">
        <v>0</v>
      </c>
      <c r="Q49" s="425">
        <v>0</v>
      </c>
      <c r="R49" s="425">
        <v>0</v>
      </c>
      <c r="S49" s="448"/>
      <c r="T49" s="450">
        <f t="shared" si="8"/>
        <v>0</v>
      </c>
      <c r="U49" s="425">
        <f t="shared" si="1"/>
        <v>128000</v>
      </c>
      <c r="V49" s="445">
        <f>(SUM(C$45:C49)+SUM(I$45:I49)+SUM(O$45:O49))/SUM($U$45:$U49)</f>
        <v>1.733407658372847</v>
      </c>
      <c r="W49" s="446">
        <f>(SUM(D$45:D49)+SUM(J$45:J49)+SUM(P$45:P49))/SUM($U$45:$U49)</f>
        <v>5.7769492362907807E-2</v>
      </c>
      <c r="X49" s="446">
        <f>(SUM(E$45:E49)+SUM(K$45:K49)+SUM(Q$45:Q49))/SUM($U$45:$U49)</f>
        <v>0.18884898119401272</v>
      </c>
      <c r="Y49" s="446">
        <f>(SUM(F$45:F49)+SUM(L$45:L49)+SUM(R$45:R49))/SUM($U$45:$U49)</f>
        <v>0.54983564562577181</v>
      </c>
      <c r="Z49" s="446"/>
      <c r="AA49" s="446">
        <f t="shared" si="2"/>
        <v>2.5298617775555394</v>
      </c>
      <c r="AB49" s="452">
        <f>AA49</f>
        <v>2.5298617775555394</v>
      </c>
      <c r="AC49" s="366" t="str">
        <f>TEXT(AB49,"0"&amp;MID(1/3,2,1)&amp;"00")&amp;" €/m"&amp;CHAR(179)</f>
        <v>2.53 €/m³</v>
      </c>
      <c r="AD49" s="452"/>
    </row>
    <row r="50" spans="1:30">
      <c r="A50" s="366">
        <v>2031</v>
      </c>
      <c r="B50" s="438">
        <v>6</v>
      </c>
      <c r="C50" s="447">
        <f t="shared" si="3"/>
        <v>4950.8875493296755</v>
      </c>
      <c r="D50" s="448">
        <f t="shared" si="0"/>
        <v>6302.1886216173043</v>
      </c>
      <c r="E50" s="448">
        <f t="shared" si="4"/>
        <v>18172.66959283363</v>
      </c>
      <c r="F50" s="448">
        <f t="shared" si="5"/>
        <v>42286.404244862875</v>
      </c>
      <c r="G50" s="448"/>
      <c r="H50" s="449">
        <f t="shared" si="6"/>
        <v>71712.150008643483</v>
      </c>
      <c r="I50" s="447">
        <f>SUM([1]Reuse_LCI!$L$73:$L$83)+'[1]Eau &amp; Energie'!M13+'[1]Eau &amp; Energie'!N13</f>
        <v>217252.06300457171</v>
      </c>
      <c r="J50" s="448">
        <f>'[1]Eau &amp; Energie'!O13</f>
        <v>1213.055472150281</v>
      </c>
      <c r="K50" s="448">
        <f>[1]Reuse_LCI!$L$90</f>
        <v>6000</v>
      </c>
      <c r="L50" s="448">
        <f>[1]Reuse_LCI!$L$96+'[1]Eau &amp; Energie'!P13</f>
        <v>28790.380511142463</v>
      </c>
      <c r="M50" s="448"/>
      <c r="N50" s="450">
        <f t="shared" si="7"/>
        <v>253255.49898786444</v>
      </c>
      <c r="O50" s="451">
        <v>0</v>
      </c>
      <c r="P50" s="425">
        <v>0</v>
      </c>
      <c r="Q50" s="425">
        <v>0</v>
      </c>
      <c r="R50" s="425">
        <v>0</v>
      </c>
      <c r="S50" s="448"/>
      <c r="T50" s="450">
        <f t="shared" si="8"/>
        <v>0</v>
      </c>
      <c r="U50" s="425">
        <f t="shared" si="1"/>
        <v>128000</v>
      </c>
      <c r="V50" s="445">
        <f>(SUM(C$45:C50)+SUM(I$45:I50)+SUM(O$45:O50))/SUM($U$45:$U50)</f>
        <v>1.7338331405110983</v>
      </c>
      <c r="W50" s="446">
        <f>(SUM(D$45:D50)+SUM(J$45:J50)+SUM(P$45:P50))/SUM($U$45:$U50)</f>
        <v>5.7926717716183046E-2</v>
      </c>
      <c r="X50" s="446">
        <f>(SUM(E$45:E50)+SUM(K$45:K50)+SUM(Q$45:Q50))/SUM($U$45:$U50)</f>
        <v>0.18884898119401275</v>
      </c>
      <c r="Y50" s="446">
        <f>(SUM(F$45:F50)+SUM(L$45:L50)+SUM(R$45:R50))/SUM($U$45:$U50)</f>
        <v>0.55074426817252498</v>
      </c>
      <c r="Z50" s="446"/>
      <c r="AA50" s="446">
        <f t="shared" si="2"/>
        <v>2.5313531075938194</v>
      </c>
      <c r="AB50" s="452"/>
      <c r="AD50" s="452"/>
    </row>
    <row r="51" spans="1:30">
      <c r="A51" s="366">
        <v>2032</v>
      </c>
      <c r="B51" s="438">
        <v>7</v>
      </c>
      <c r="C51" s="447">
        <f t="shared" si="3"/>
        <v>4950.8875493296755</v>
      </c>
      <c r="D51" s="448">
        <f t="shared" si="0"/>
        <v>6302.1886216173043</v>
      </c>
      <c r="E51" s="448">
        <f t="shared" si="4"/>
        <v>18172.66959283363</v>
      </c>
      <c r="F51" s="448">
        <f t="shared" si="5"/>
        <v>42286.404244862875</v>
      </c>
      <c r="G51" s="448"/>
      <c r="H51" s="449">
        <f t="shared" si="6"/>
        <v>71712.150008643483</v>
      </c>
      <c r="I51" s="447">
        <f>SUM([1]Reuse_LCI!$L$73:$L$83)+'[1]Eau &amp; Energie'!M14+'[1]Eau &amp; Energie'!N14</f>
        <v>217370.24244136622</v>
      </c>
      <c r="J51" s="448">
        <f>'[1]Eau &amp; Energie'!O14</f>
        <v>1256.725469147691</v>
      </c>
      <c r="K51" s="448">
        <f>[1]Reuse_LCI!$L$90</f>
        <v>6000</v>
      </c>
      <c r="L51" s="448">
        <f>[1]Reuse_LCI!$L$96+'[1]Eau &amp; Energie'!P14</f>
        <v>29042.754209543593</v>
      </c>
      <c r="M51" s="448"/>
      <c r="N51" s="450">
        <f t="shared" si="7"/>
        <v>253669.7221200575</v>
      </c>
      <c r="O51" s="451">
        <v>0</v>
      </c>
      <c r="P51" s="425">
        <v>0</v>
      </c>
      <c r="Q51" s="425">
        <v>0</v>
      </c>
      <c r="R51" s="425">
        <v>0</v>
      </c>
      <c r="S51" s="448"/>
      <c r="T51" s="450">
        <f t="shared" si="8"/>
        <v>0</v>
      </c>
      <c r="U51" s="425">
        <f t="shared" si="1"/>
        <v>128000</v>
      </c>
      <c r="V51" s="445">
        <f>(SUM(C$45:C51)+SUM(I$45:I51)+SUM(O$45:O51))/SUM($U$45:$U51)</f>
        <v>1.7342689530169859</v>
      </c>
      <c r="W51" s="446">
        <f>(SUM(D$45:D51)+SUM(J$45:J51)+SUM(P$45:P51))/SUM($U$45:$U51)</f>
        <v>5.8087760375885693E-2</v>
      </c>
      <c r="X51" s="446">
        <f>(SUM(E$45:E51)+SUM(K$45:K51)+SUM(Q$45:Q51))/SUM($U$45:$U51)</f>
        <v>0.18884898119401272</v>
      </c>
      <c r="Y51" s="446">
        <f>(SUM(F$45:F51)+SUM(L$45:L51)+SUM(R$45:R51))/SUM($U$45:$U51)</f>
        <v>0.55167495135145728</v>
      </c>
      <c r="Z51" s="446"/>
      <c r="AA51" s="446">
        <f t="shared" si="2"/>
        <v>2.5328806459383415</v>
      </c>
      <c r="AB51" s="452"/>
      <c r="AD51" s="452"/>
    </row>
    <row r="52" spans="1:30">
      <c r="A52" s="366">
        <v>2033</v>
      </c>
      <c r="B52" s="438">
        <v>8</v>
      </c>
      <c r="C52" s="447">
        <f t="shared" si="3"/>
        <v>4950.8875493296755</v>
      </c>
      <c r="D52" s="448">
        <f t="shared" si="0"/>
        <v>6302.1886216173043</v>
      </c>
      <c r="E52" s="448">
        <f t="shared" si="4"/>
        <v>18172.66959283363</v>
      </c>
      <c r="F52" s="448">
        <f t="shared" si="5"/>
        <v>42286.404244862875</v>
      </c>
      <c r="G52" s="448"/>
      <c r="H52" s="449">
        <f t="shared" si="6"/>
        <v>71712.150008643483</v>
      </c>
      <c r="I52" s="447">
        <f>SUM([1]Reuse_LCI!$L$73:$L$83)+'[1]Eau &amp; Energie'!M15+'[1]Eau &amp; Energie'!N15</f>
        <v>217492.67633788532</v>
      </c>
      <c r="J52" s="448">
        <f>'[1]Eau &amp; Energie'!O15</f>
        <v>1301.967586037008</v>
      </c>
      <c r="K52" s="448">
        <f>[1]Reuse_LCI!$L$90</f>
        <v>6000</v>
      </c>
      <c r="L52" s="448">
        <f>[1]Reuse_LCI!$L$96+'[1]Eau &amp; Energie'!P15</f>
        <v>29304.213361087161</v>
      </c>
      <c r="M52" s="448"/>
      <c r="N52" s="450">
        <f t="shared" si="7"/>
        <v>254098.85728500949</v>
      </c>
      <c r="O52" s="451">
        <v>0</v>
      </c>
      <c r="P52" s="425">
        <v>0</v>
      </c>
      <c r="Q52" s="425">
        <v>0</v>
      </c>
      <c r="R52" s="425">
        <v>0</v>
      </c>
      <c r="S52" s="448"/>
      <c r="T52" s="450">
        <f t="shared" si="8"/>
        <v>0</v>
      </c>
      <c r="U52" s="425">
        <f t="shared" si="1"/>
        <v>128000</v>
      </c>
      <c r="V52" s="445">
        <f>(SUM(C$45:C52)+SUM(I$45:I52)+SUM(O$45:O52))/SUM($U$45:$U52)</f>
        <v>1.7347153767484711</v>
      </c>
      <c r="W52" s="446">
        <f>(SUM(D$45:D52)+SUM(J$45:J52)+SUM(P$45:P52))/SUM($U$45:$U52)</f>
        <v>5.8252724125437395E-2</v>
      </c>
      <c r="X52" s="446">
        <f>(SUM(E$45:E52)+SUM(K$45:K52)+SUM(Q$45:Q52))/SUM($U$45:$U52)</f>
        <v>0.18884898119401275</v>
      </c>
      <c r="Y52" s="446">
        <f>(SUM(F$45:F52)+SUM(L$45:L52)+SUM(R$45:R52))/SUM($U$45:$U52)</f>
        <v>0.55262829493833565</v>
      </c>
      <c r="Z52" s="446"/>
      <c r="AA52" s="446">
        <f t="shared" si="2"/>
        <v>2.5344453770062572</v>
      </c>
      <c r="AB52" s="452"/>
      <c r="AD52" s="452"/>
    </row>
    <row r="53" spans="1:30">
      <c r="A53" s="366">
        <v>2034</v>
      </c>
      <c r="B53" s="438">
        <v>9</v>
      </c>
      <c r="C53" s="447">
        <f t="shared" si="3"/>
        <v>4950.8875493296755</v>
      </c>
      <c r="D53" s="448">
        <f t="shared" si="0"/>
        <v>6302.1886216173043</v>
      </c>
      <c r="E53" s="448">
        <f t="shared" si="4"/>
        <v>18172.66959283363</v>
      </c>
      <c r="F53" s="448">
        <f t="shared" si="5"/>
        <v>42286.404244862875</v>
      </c>
      <c r="G53" s="448"/>
      <c r="H53" s="449">
        <f t="shared" si="6"/>
        <v>71712.150008643483</v>
      </c>
      <c r="I53" s="447">
        <f>SUM([1]Reuse_LCI!$L$73:$L$83)+'[1]Eau &amp; Energie'!M16+'[1]Eau &amp; Energie'!N16</f>
        <v>217619.51785467911</v>
      </c>
      <c r="J53" s="448">
        <f>'[1]Eau &amp; Energie'!O16</f>
        <v>1348.8384191343403</v>
      </c>
      <c r="K53" s="448">
        <f>[1]Reuse_LCI!$L$90</f>
        <v>6000</v>
      </c>
      <c r="L53" s="448">
        <f>[1]Reuse_LCI!$L$96+'[1]Eau &amp; Energie'!P16</f>
        <v>29575.085042086299</v>
      </c>
      <c r="M53" s="448"/>
      <c r="N53" s="450">
        <f t="shared" si="7"/>
        <v>254543.44131589978</v>
      </c>
      <c r="O53" s="451">
        <v>0</v>
      </c>
      <c r="P53" s="425">
        <v>0</v>
      </c>
      <c r="Q53" s="425">
        <v>0</v>
      </c>
      <c r="R53" s="425">
        <v>0</v>
      </c>
      <c r="S53" s="448"/>
      <c r="T53" s="450">
        <f t="shared" si="8"/>
        <v>0</v>
      </c>
      <c r="U53" s="425">
        <f t="shared" si="1"/>
        <v>128000</v>
      </c>
      <c r="V53" s="445">
        <f>(SUM(C$45:C53)+SUM(I$45:I53)+SUM(O$45:O53))/SUM($U$45:$U53)</f>
        <v>1.7351727006896209</v>
      </c>
      <c r="W53" s="446">
        <f>(SUM(D$45:D53)+SUM(J$45:J53)+SUM(P$45:P53))/SUM($U$45:$U53)</f>
        <v>5.8421715751041256E-2</v>
      </c>
      <c r="X53" s="446">
        <f>(SUM(E$45:E53)+SUM(K$45:K53)+SUM(Q$45:Q53))/SUM($U$45:$U53)</f>
        <v>0.18884898119401275</v>
      </c>
      <c r="Y53" s="446">
        <f>(SUM(F$45:F53)+SUM(L$45:L53)+SUM(R$45:R53))/SUM($U$45:$U53)</f>
        <v>0.55360491606233064</v>
      </c>
      <c r="Z53" s="446"/>
      <c r="AA53" s="446">
        <f t="shared" si="2"/>
        <v>2.5360483136970053</v>
      </c>
      <c r="AB53" s="452"/>
      <c r="AD53" s="452"/>
    </row>
    <row r="54" spans="1:30">
      <c r="A54" s="366">
        <v>2035</v>
      </c>
      <c r="B54" s="438">
        <v>10</v>
      </c>
      <c r="C54" s="447">
        <f t="shared" si="3"/>
        <v>4950.8875493296755</v>
      </c>
      <c r="D54" s="448">
        <f t="shared" si="0"/>
        <v>6302.1886216173043</v>
      </c>
      <c r="E54" s="448">
        <f t="shared" si="4"/>
        <v>18172.66959283363</v>
      </c>
      <c r="F54" s="448">
        <f t="shared" si="5"/>
        <v>42286.404244862875</v>
      </c>
      <c r="G54" s="448"/>
      <c r="H54" s="449">
        <f t="shared" si="6"/>
        <v>71712.150008643483</v>
      </c>
      <c r="I54" s="447">
        <f>SUM([1]Reuse_LCI!$L$73:$L$83)+'[1]Eau &amp; Energie'!M17+'[1]Eau &amp; Energie'!N17</f>
        <v>217750.9256660775</v>
      </c>
      <c r="J54" s="448">
        <f>'[1]Eau &amp; Energie'!O17</f>
        <v>1397.3966022231766</v>
      </c>
      <c r="K54" s="448">
        <f>[1]Reuse_LCI!$L$90</f>
        <v>6000</v>
      </c>
      <c r="L54" s="448">
        <f>[1]Reuse_LCI!$L$96+'[1]Eau &amp; Energie'!P17</f>
        <v>29855.708103601406</v>
      </c>
      <c r="M54" s="448"/>
      <c r="N54" s="450">
        <f t="shared" si="7"/>
        <v>255004.0303719021</v>
      </c>
      <c r="O54" s="451">
        <v>0</v>
      </c>
      <c r="P54" s="425">
        <v>0</v>
      </c>
      <c r="Q54" s="425">
        <v>0</v>
      </c>
      <c r="R54" s="425">
        <v>0</v>
      </c>
      <c r="S54" s="448"/>
      <c r="T54" s="450">
        <f t="shared" si="8"/>
        <v>0</v>
      </c>
      <c r="U54" s="425">
        <f t="shared" si="1"/>
        <v>128000</v>
      </c>
      <c r="V54" s="445">
        <f>(SUM(C$45:C54)+SUM(I$45:I54)+SUM(O$45:O54))/SUM($U$45:$U54)</f>
        <v>1.7356412221951956</v>
      </c>
      <c r="W54" s="446">
        <f>(SUM(D$45:D54)+SUM(J$45:J54)+SUM(P$45:P54))/SUM($U$45:$U54)</f>
        <v>5.8594845132062506E-2</v>
      </c>
      <c r="X54" s="446">
        <f>(SUM(E$45:E54)+SUM(K$45:K54)+SUM(Q$45:Q54))/SUM($U$45:$U54)</f>
        <v>0.18884898119401275</v>
      </c>
      <c r="Y54" s="446">
        <f>(SUM(F$45:F54)+SUM(L$45:L54)+SUM(R$45:R54))/SUM($U$45:$U54)</f>
        <v>0.55460544972833525</v>
      </c>
      <c r="Z54" s="446"/>
      <c r="AA54" s="446">
        <f t="shared" si="2"/>
        <v>2.5376904982496065</v>
      </c>
      <c r="AB54" s="452">
        <f>AA54</f>
        <v>2.5376904982496065</v>
      </c>
      <c r="AC54" s="366" t="str">
        <f>TEXT(AB54,"0"&amp;MID(1/3,2,1)&amp;"00")&amp;" €/m"&amp;CHAR(179)</f>
        <v>2.54 €/m³</v>
      </c>
      <c r="AD54" s="452"/>
    </row>
    <row r="55" spans="1:30">
      <c r="A55" s="366">
        <v>2036</v>
      </c>
      <c r="B55" s="438">
        <v>11</v>
      </c>
      <c r="C55" s="447">
        <f t="shared" si="3"/>
        <v>4950.8875493296755</v>
      </c>
      <c r="D55" s="448">
        <f t="shared" si="0"/>
        <v>6302.1886216173043</v>
      </c>
      <c r="E55" s="448">
        <f t="shared" si="4"/>
        <v>18172.66959283363</v>
      </c>
      <c r="F55" s="448">
        <f t="shared" si="5"/>
        <v>42286.404244862875</v>
      </c>
      <c r="G55" s="448"/>
      <c r="H55" s="449">
        <f t="shared" si="6"/>
        <v>71712.150008643483</v>
      </c>
      <c r="I55" s="447">
        <f>SUM([1]Reuse_LCI!$L$73:$L$83)+'[1]Eau &amp; Energie'!M18+'[1]Eau &amp; Energie'!N18</f>
        <v>217887.0641586862</v>
      </c>
      <c r="J55" s="448">
        <f>'[1]Eau &amp; Energie'!O18</f>
        <v>1447.7028799032109</v>
      </c>
      <c r="K55" s="448">
        <f>[1]Reuse_LCI!$L$90</f>
        <v>6000</v>
      </c>
      <c r="L55" s="448">
        <f>[1]Reuse_LCI!$L$96+'[1]Eau &amp; Energie'!P18</f>
        <v>30146.433595331058</v>
      </c>
      <c r="M55" s="448"/>
      <c r="N55" s="450">
        <f t="shared" si="7"/>
        <v>255481.20063392047</v>
      </c>
      <c r="O55" s="451">
        <v>0</v>
      </c>
      <c r="P55" s="425">
        <v>0</v>
      </c>
      <c r="Q55" s="425">
        <v>0</v>
      </c>
      <c r="R55" s="425">
        <v>0</v>
      </c>
      <c r="S55" s="448"/>
      <c r="T55" s="450">
        <f t="shared" si="8"/>
        <v>0</v>
      </c>
      <c r="U55" s="425">
        <f t="shared" si="1"/>
        <v>128000</v>
      </c>
      <c r="V55" s="445">
        <f>(SUM(C$45:C55)+SUM(I$45:I55)+SUM(O$45:O55))/SUM($U$45:$U55)</f>
        <v>1.7361212472428025</v>
      </c>
      <c r="W55" s="446">
        <f>(SUM(D$45:D55)+SUM(J$45:J55)+SUM(P$45:P55))/SUM($U$45:$U55)</f>
        <v>5.8772225334204918E-2</v>
      </c>
      <c r="X55" s="446">
        <f>(SUM(E$45:E55)+SUM(K$45:K55)+SUM(Q$45:Q55))/SUM($U$45:$U55)</f>
        <v>0.18884898119401275</v>
      </c>
      <c r="Y55" s="446">
        <f>(SUM(F$45:F55)+SUM(L$45:L55)+SUM(R$45:R55))/SUM($U$45:$U55)</f>
        <v>0.55563054935544243</v>
      </c>
      <c r="Z55" s="446"/>
      <c r="AA55" s="446">
        <f t="shared" si="2"/>
        <v>2.5393730031264625</v>
      </c>
      <c r="AB55" s="446"/>
      <c r="AD55" s="452"/>
    </row>
    <row r="56" spans="1:30">
      <c r="A56" s="366">
        <v>2037</v>
      </c>
      <c r="B56" s="438">
        <v>12</v>
      </c>
      <c r="C56" s="447">
        <f t="shared" si="3"/>
        <v>4950.8875493296755</v>
      </c>
      <c r="D56" s="448">
        <f t="shared" si="0"/>
        <v>6302.1886216173043</v>
      </c>
      <c r="E56" s="448">
        <f t="shared" si="4"/>
        <v>18172.66959283363</v>
      </c>
      <c r="F56" s="448">
        <f t="shared" si="5"/>
        <v>42286.404244862875</v>
      </c>
      <c r="G56" s="448"/>
      <c r="H56" s="449">
        <f t="shared" si="6"/>
        <v>71712.150008643483</v>
      </c>
      <c r="I56" s="447">
        <f>SUM([1]Reuse_LCI!$L$73:$L$83)+'[1]Eau &amp; Energie'!M19+'[1]Eau &amp; Energie'!N19</f>
        <v>218028.10363702883</v>
      </c>
      <c r="J56" s="448">
        <f>'[1]Eau &amp; Energie'!O19</f>
        <v>1499.8201835797265</v>
      </c>
      <c r="K56" s="448">
        <f>[1]Reuse_LCI!$L$90</f>
        <v>6000</v>
      </c>
      <c r="L56" s="448">
        <f>[1]Reuse_LCI!$L$96+'[1]Eau &amp; Energie'!P19</f>
        <v>30447.625204762975</v>
      </c>
      <c r="M56" s="448"/>
      <c r="N56" s="450">
        <f t="shared" si="7"/>
        <v>255975.54902537153</v>
      </c>
      <c r="O56" s="451">
        <v>0</v>
      </c>
      <c r="P56" s="425">
        <v>0</v>
      </c>
      <c r="Q56" s="425">
        <v>0</v>
      </c>
      <c r="R56" s="425">
        <v>0</v>
      </c>
      <c r="S56" s="448"/>
      <c r="T56" s="450">
        <f t="shared" si="8"/>
        <v>0</v>
      </c>
      <c r="U56" s="425">
        <f t="shared" si="1"/>
        <v>128000</v>
      </c>
      <c r="V56" s="445">
        <f>(SUM(C$45:C56)+SUM(I$45:I56)+SUM(O$45:O56))/SUM($U$45:$U56)</f>
        <v>1.7366130906928543</v>
      </c>
      <c r="W56" s="446">
        <f>(SUM(D$45:D56)+SUM(J$45:J56)+SUM(P$45:P56))/SUM($U$45:$U56)</f>
        <v>5.8953972705571317E-2</v>
      </c>
      <c r="X56" s="446">
        <f>(SUM(E$45:E56)+SUM(K$45:K56)+SUM(Q$45:Q56))/SUM($U$45:$U56)</f>
        <v>0.18884898119401275</v>
      </c>
      <c r="Y56" s="446">
        <f>(SUM(F$45:F56)+SUM(L$45:L56)+SUM(R$45:R56))/SUM($U$45:$U56)</f>
        <v>0.55668088733208909</v>
      </c>
      <c r="Z56" s="446"/>
      <c r="AA56" s="446">
        <f>SUM(V56:Y56)</f>
        <v>2.5410969319245273</v>
      </c>
      <c r="AB56" s="452"/>
      <c r="AD56" s="452"/>
    </row>
    <row r="57" spans="1:30">
      <c r="A57" s="366">
        <v>2038</v>
      </c>
      <c r="B57" s="438">
        <v>13</v>
      </c>
      <c r="C57" s="447">
        <f t="shared" si="3"/>
        <v>4950.8875493296755</v>
      </c>
      <c r="D57" s="448">
        <f t="shared" si="0"/>
        <v>6302.1886216173043</v>
      </c>
      <c r="E57" s="448">
        <f t="shared" si="4"/>
        <v>18172.66959283363</v>
      </c>
      <c r="F57" s="448">
        <f t="shared" si="5"/>
        <v>42286.404244862875</v>
      </c>
      <c r="G57" s="448"/>
      <c r="H57" s="449">
        <f>SUM(C57:G57)</f>
        <v>71712.150008643483</v>
      </c>
      <c r="I57" s="447">
        <f>SUM([1]Reuse_LCI!$L$73:$L$83)+'[1]Eau &amp; Energie'!M20+'[1]Eau &amp; Energie'!N20</f>
        <v>218174.22053659181</v>
      </c>
      <c r="J57" s="448">
        <f>'[1]Eau &amp; Energie'!O20</f>
        <v>1553.8137101885966</v>
      </c>
      <c r="K57" s="448">
        <f>[1]Reuse_LCI!$L$90</f>
        <v>6000</v>
      </c>
      <c r="L57" s="448">
        <f>[1]Reuse_LCI!$L$96+'[1]Eau &amp; Energie'!P20</f>
        <v>30759.659712134438</v>
      </c>
      <c r="M57" s="448"/>
      <c r="N57" s="450">
        <f t="shared" si="7"/>
        <v>256487.69395891484</v>
      </c>
      <c r="O57" s="451">
        <v>0</v>
      </c>
      <c r="P57" s="425">
        <v>0</v>
      </c>
      <c r="Q57" s="425">
        <v>0</v>
      </c>
      <c r="R57" s="425">
        <v>0</v>
      </c>
      <c r="S57" s="448"/>
      <c r="T57" s="450">
        <f t="shared" si="8"/>
        <v>0</v>
      </c>
      <c r="U57" s="425">
        <f t="shared" si="1"/>
        <v>128000</v>
      </c>
      <c r="V57" s="445">
        <f>(SUM(C$45:C57)+SUM(I$45:I57)+SUM(O$45:O57))/SUM($U$45:$U57)</f>
        <v>1.7371170765565784</v>
      </c>
      <c r="W57" s="446">
        <f>(SUM(D$45:D57)+SUM(J$45:J57)+SUM(P$45:P57))/SUM($U$45:$U57)</f>
        <v>5.9140206975699182E-2</v>
      </c>
      <c r="X57" s="446">
        <f>(SUM(E$45:E57)+SUM(K$45:K57)+SUM(Q$45:Q57))/SUM($U$45:$U57)</f>
        <v>0.18884898119401278</v>
      </c>
      <c r="Y57" s="446">
        <f>(SUM(F$45:F57)+SUM(L$45:L57)+SUM(R$45:R57))/SUM($U$45:$U57)</f>
        <v>0.55775715558839312</v>
      </c>
      <c r="Z57" s="446"/>
      <c r="AA57" s="446">
        <f t="shared" si="2"/>
        <v>2.5428634203146836</v>
      </c>
      <c r="AB57" s="452"/>
      <c r="AD57" s="452"/>
    </row>
    <row r="58" spans="1:30">
      <c r="A58" s="366">
        <v>2039</v>
      </c>
      <c r="B58" s="438">
        <v>14</v>
      </c>
      <c r="C58" s="447">
        <f t="shared" si="3"/>
        <v>4950.8875493296755</v>
      </c>
      <c r="D58" s="448">
        <f t="shared" si="0"/>
        <v>6302.1886216173043</v>
      </c>
      <c r="E58" s="448">
        <f t="shared" si="4"/>
        <v>18172.66959283363</v>
      </c>
      <c r="F58" s="448">
        <f t="shared" si="5"/>
        <v>42286.404244862875</v>
      </c>
      <c r="G58" s="448"/>
      <c r="H58" s="449">
        <f t="shared" si="6"/>
        <v>71712.150008643483</v>
      </c>
      <c r="I58" s="447">
        <f>SUM([1]Reuse_LCI!$L$73:$L$83)+'[1]Eau &amp; Energie'!M21+'[1]Eau &amp; Energie'!N21</f>
        <v>218325.597644539</v>
      </c>
      <c r="J58" s="448">
        <f>'[1]Eau &amp; Energie'!O21</f>
        <v>1609.7510037553861</v>
      </c>
      <c r="K58" s="448">
        <f>[1]Reuse_LCI!$L$90</f>
        <v>6000</v>
      </c>
      <c r="L58" s="448">
        <f>[1]Reuse_LCI!$L$96+'[1]Eau &amp; Energie'!P21</f>
        <v>31082.92746177128</v>
      </c>
      <c r="M58" s="448"/>
      <c r="N58" s="450">
        <f t="shared" si="7"/>
        <v>257018.27611006564</v>
      </c>
      <c r="O58" s="451">
        <v>0</v>
      </c>
      <c r="P58" s="425">
        <v>0</v>
      </c>
      <c r="Q58" s="425">
        <v>0</v>
      </c>
      <c r="R58" s="425">
        <v>0</v>
      </c>
      <c r="S58" s="448"/>
      <c r="T58" s="450">
        <f t="shared" si="8"/>
        <v>0</v>
      </c>
      <c r="U58" s="425">
        <f t="shared" si="1"/>
        <v>128000</v>
      </c>
      <c r="V58" s="445">
        <f>(SUM(C$45:C58)+SUM(I$45:I58)+SUM(O$45:O58))/SUM($U$45:$U58)</f>
        <v>1.7376335382723298</v>
      </c>
      <c r="W58" s="446">
        <f>(SUM(D$45:D58)+SUM(J$45:J58)+SUM(P$45:P58))/SUM($U$45:$U58)</f>
        <v>5.9331051357665247E-2</v>
      </c>
      <c r="X58" s="446">
        <f>(SUM(E$45:E58)+SUM(K$45:K58)+SUM(Q$45:Q58))/SUM($U$45:$U58)</f>
        <v>0.18884898119401278</v>
      </c>
      <c r="Y58" s="446">
        <f>(SUM(F$45:F58)+SUM(L$45:L58)+SUM(R$45:R58))/SUM($U$45:$U58)</f>
        <v>0.55886006618622786</v>
      </c>
      <c r="Z58" s="446"/>
      <c r="AA58" s="446">
        <f t="shared" si="2"/>
        <v>2.5446736370102356</v>
      </c>
      <c r="AB58" s="452"/>
      <c r="AD58" s="452"/>
    </row>
    <row r="59" spans="1:30">
      <c r="A59" s="366">
        <v>2040</v>
      </c>
      <c r="B59" s="438">
        <v>15</v>
      </c>
      <c r="C59" s="447">
        <f t="shared" si="3"/>
        <v>4950.8875493296755</v>
      </c>
      <c r="D59" s="448">
        <f t="shared" si="0"/>
        <v>6302.1886216173043</v>
      </c>
      <c r="E59" s="448">
        <f t="shared" si="4"/>
        <v>18172.66959283363</v>
      </c>
      <c r="F59" s="448">
        <f t="shared" si="5"/>
        <v>42286.404244862875</v>
      </c>
      <c r="G59" s="448"/>
      <c r="H59" s="449">
        <f t="shared" si="6"/>
        <v>71712.150008643483</v>
      </c>
      <c r="I59" s="447">
        <f>SUM([1]Reuse_LCI!$L$73:$L$83)+'[1]Eau &amp; Energie'!M22+'[1]Eau &amp; Energie'!N22</f>
        <v>218482.42432837235</v>
      </c>
      <c r="J59" s="448">
        <f>'[1]Eau &amp; Energie'!O22</f>
        <v>1667.70203989058</v>
      </c>
      <c r="K59" s="448">
        <f>[1]Reuse_LCI!$L$90</f>
        <v>6000</v>
      </c>
      <c r="L59" s="448">
        <f>[1]Reuse_LCI!$L$96+'[1]Eau &amp; Energie'!P22</f>
        <v>31417.832850395047</v>
      </c>
      <c r="M59" s="448"/>
      <c r="N59" s="450">
        <f t="shared" si="7"/>
        <v>257567.95921865798</v>
      </c>
      <c r="O59" s="451">
        <v>0</v>
      </c>
      <c r="P59" s="425">
        <v>0</v>
      </c>
      <c r="Q59" s="425">
        <v>0</v>
      </c>
      <c r="R59" s="425">
        <v>0</v>
      </c>
      <c r="S59" s="448"/>
      <c r="T59" s="450">
        <f t="shared" si="8"/>
        <v>0</v>
      </c>
      <c r="U59" s="425">
        <f t="shared" si="1"/>
        <v>128000</v>
      </c>
      <c r="V59" s="445">
        <f>(SUM(C$45:C59)+SUM(I$45:I59)+SUM(O$45:O59))/SUM($U$45:$U59)</f>
        <v>1.7381628189904776</v>
      </c>
      <c r="W59" s="446">
        <f>(SUM(D$45:D59)+SUM(J$45:J59)+SUM(P$45:P59))/SUM($U$45:$U59)</f>
        <v>5.9526632653356261E-2</v>
      </c>
      <c r="X59" s="446">
        <f>(SUM(E$45:E59)+SUM(K$45:K59)+SUM(Q$45:Q59))/SUM($U$45:$U59)</f>
        <v>0.18884898119401278</v>
      </c>
      <c r="Y59" s="446">
        <f>(SUM(F$45:F59)+SUM(L$45:L59)+SUM(R$45:R59))/SUM($U$45:$U59)</f>
        <v>0.55999035192759283</v>
      </c>
      <c r="Z59" s="446"/>
      <c r="AA59" s="446">
        <f t="shared" si="2"/>
        <v>2.5465287847654396</v>
      </c>
      <c r="AB59" s="452">
        <f>AA59</f>
        <v>2.5465287847654396</v>
      </c>
      <c r="AC59" s="366" t="str">
        <f>TEXT(AB59,"0"&amp;MID(1/3,2,1)&amp;"00")&amp;" €/m"&amp;CHAR(179)</f>
        <v>2.55 €/m³</v>
      </c>
      <c r="AD59" s="452"/>
    </row>
    <row r="60" spans="1:30">
      <c r="A60" s="366">
        <v>2041</v>
      </c>
      <c r="B60" s="438">
        <v>16</v>
      </c>
      <c r="C60" s="447">
        <f t="shared" si="3"/>
        <v>4950.8875493296755</v>
      </c>
      <c r="D60" s="448">
        <f t="shared" si="0"/>
        <v>6302.1886216173043</v>
      </c>
      <c r="E60" s="448">
        <f t="shared" si="4"/>
        <v>18172.66959283363</v>
      </c>
      <c r="F60" s="448">
        <f t="shared" si="5"/>
        <v>42286.404244862875</v>
      </c>
      <c r="G60" s="448"/>
      <c r="H60" s="449">
        <f t="shared" si="6"/>
        <v>71712.150008643483</v>
      </c>
      <c r="I60" s="447">
        <f>SUM([1]Reuse_LCI!$L$73:$L$83)+'[1]Eau &amp; Energie'!M23+'[1]Eau &amp; Energie'!N23</f>
        <v>218644.89677282365</v>
      </c>
      <c r="J60" s="448">
        <f>'[1]Eau &amp; Energie'!O23</f>
        <v>1727.739313326641</v>
      </c>
      <c r="K60" s="448">
        <f>[1]Reuse_LCI!$L$90</f>
        <v>6000</v>
      </c>
      <c r="L60" s="448">
        <f>[1]Reuse_LCI!$L$96+'[1]Eau &amp; Energie'!P23</f>
        <v>31764.794833009269</v>
      </c>
      <c r="M60" s="448"/>
      <c r="N60" s="450">
        <f t="shared" si="7"/>
        <v>258137.43091915955</v>
      </c>
      <c r="O60" s="451">
        <v>0</v>
      </c>
      <c r="P60" s="425">
        <v>0</v>
      </c>
      <c r="Q60" s="425">
        <v>0</v>
      </c>
      <c r="R60" s="425">
        <v>0</v>
      </c>
      <c r="S60" s="448"/>
      <c r="T60" s="450">
        <f t="shared" si="8"/>
        <v>0</v>
      </c>
      <c r="U60" s="425">
        <f t="shared" si="1"/>
        <v>128000</v>
      </c>
      <c r="V60" s="445">
        <f>(SUM(C$45:C60)+SUM(I$45:I60)+SUM(O$45:O60))/SUM($U$45:$U60)</f>
        <v>1.7387052718671241</v>
      </c>
      <c r="W60" s="446">
        <f>(SUM(D$45:D60)+SUM(J$45:J60)+SUM(P$45:P60))/SUM($U$45:$U60)</f>
        <v>5.9727081362005836E-2</v>
      </c>
      <c r="X60" s="446">
        <f>(SUM(E$45:E60)+SUM(K$45:K60)+SUM(Q$45:Q60))/SUM($U$45:$U60)</f>
        <v>0.18884898119401278</v>
      </c>
      <c r="Y60" s="446">
        <f>(SUM(F$45:F60)+SUM(L$45:L60)+SUM(R$45:R60))/SUM($U$45:$U60)</f>
        <v>0.56114876698186045</v>
      </c>
      <c r="Z60" s="446"/>
      <c r="AA60" s="446">
        <f t="shared" si="2"/>
        <v>2.5484301014050033</v>
      </c>
      <c r="AB60" s="452"/>
      <c r="AD60" s="452"/>
    </row>
    <row r="61" spans="1:30">
      <c r="A61" s="366">
        <v>2042</v>
      </c>
      <c r="B61" s="438">
        <v>17</v>
      </c>
      <c r="C61" s="447">
        <f t="shared" si="3"/>
        <v>4950.8875493296755</v>
      </c>
      <c r="D61" s="448">
        <f t="shared" si="0"/>
        <v>6302.1886216173043</v>
      </c>
      <c r="E61" s="448">
        <f t="shared" si="4"/>
        <v>18172.66959283363</v>
      </c>
      <c r="F61" s="448">
        <f t="shared" si="5"/>
        <v>42286.404244862875</v>
      </c>
      <c r="G61" s="448"/>
      <c r="H61" s="449">
        <f t="shared" si="6"/>
        <v>71712.150008643483</v>
      </c>
      <c r="I61" s="447">
        <f>SUM([1]Reuse_LCI!$L$73:$L$83)+'[1]Eau &amp; Energie'!M24+'[1]Eau &amp; Energie'!N24</f>
        <v>218813.21822527522</v>
      </c>
      <c r="J61" s="448">
        <f>'[1]Eau &amp; Energie'!O24</f>
        <v>1789.9379286064002</v>
      </c>
      <c r="K61" s="448">
        <f>[1]Reuse_LCI!$L$90</f>
        <v>6000</v>
      </c>
      <c r="L61" s="448">
        <f>[1]Reuse_LCI!$L$96+'[1]Eau &amp; Energie'!P24</f>
        <v>32124.247446997604</v>
      </c>
      <c r="M61" s="448"/>
      <c r="N61" s="450">
        <f t="shared" si="7"/>
        <v>258727.40360087925</v>
      </c>
      <c r="O61" s="451">
        <v>0</v>
      </c>
      <c r="P61" s="425">
        <v>0</v>
      </c>
      <c r="Q61" s="425">
        <v>0</v>
      </c>
      <c r="R61" s="425">
        <v>0</v>
      </c>
      <c r="S61" s="448"/>
      <c r="T61" s="450">
        <f t="shared" si="8"/>
        <v>0</v>
      </c>
      <c r="U61" s="425">
        <f t="shared" si="1"/>
        <v>128000</v>
      </c>
      <c r="V61" s="445">
        <f>(SUM(C$45:C61)+SUM(I$45:I61)+SUM(O$45:O61))/SUM($U$45:$U61)</f>
        <v>1.7392612603669464</v>
      </c>
      <c r="W61" s="446">
        <f>(SUM(D$45:D61)+SUM(J$45:J61)+SUM(P$45:P61))/SUM($U$45:$U61)</f>
        <v>5.9932531792100945E-2</v>
      </c>
      <c r="X61" s="446">
        <f>(SUM(E$45:E61)+SUM(K$45:K61)+SUM(Q$45:Q61))/SUM($U$45:$U61)</f>
        <v>0.18884898119401275</v>
      </c>
      <c r="Y61" s="446">
        <f>(SUM(F$45:F61)+SUM(L$45:L61)+SUM(R$45:R61))/SUM($U$45:$U61)</f>
        <v>0.56233608753249575</v>
      </c>
      <c r="Z61" s="446"/>
      <c r="AA61" s="446">
        <f t="shared" si="2"/>
        <v>2.550378860885556</v>
      </c>
      <c r="AB61" s="452"/>
      <c r="AD61" s="452"/>
    </row>
    <row r="62" spans="1:30">
      <c r="A62" s="366">
        <v>2043</v>
      </c>
      <c r="B62" s="438">
        <v>18</v>
      </c>
      <c r="C62" s="447">
        <f t="shared" si="3"/>
        <v>4950.8875493296755</v>
      </c>
      <c r="D62" s="448">
        <f t="shared" si="0"/>
        <v>6302.1886216173043</v>
      </c>
      <c r="E62" s="448">
        <f t="shared" si="4"/>
        <v>18172.66959283363</v>
      </c>
      <c r="F62" s="448">
        <f t="shared" si="5"/>
        <v>42286.404244862875</v>
      </c>
      <c r="G62" s="448"/>
      <c r="H62" s="449">
        <f t="shared" si="6"/>
        <v>71712.150008643483</v>
      </c>
      <c r="I62" s="447">
        <f>SUM([1]Reuse_LCI!$L$73:$L$83)+'[1]Eau &amp; Energie'!M25+'[1]Eau &amp; Energie'!N25</f>
        <v>218987.59925001508</v>
      </c>
      <c r="J62" s="448">
        <f>'[1]Eau &amp; Energie'!O25</f>
        <v>1854.3756940362305</v>
      </c>
      <c r="K62" s="448">
        <f>[1]Reuse_LCI!$L$90</f>
        <v>6000</v>
      </c>
      <c r="L62" s="448">
        <f>[1]Reuse_LCI!$L$96+'[1]Eau &amp; Energie'!P25</f>
        <v>32496.640355089519</v>
      </c>
      <c r="M62" s="448"/>
      <c r="N62" s="450">
        <f t="shared" si="7"/>
        <v>259338.6152991408</v>
      </c>
      <c r="O62" s="451">
        <v>0</v>
      </c>
      <c r="P62" s="425">
        <v>0</v>
      </c>
      <c r="Q62" s="425">
        <v>0</v>
      </c>
      <c r="R62" s="425">
        <v>0</v>
      </c>
      <c r="S62" s="448"/>
      <c r="T62" s="450">
        <f t="shared" si="8"/>
        <v>0</v>
      </c>
      <c r="U62" s="425">
        <f t="shared" si="1"/>
        <v>128000</v>
      </c>
      <c r="V62" s="445">
        <f>(SUM(C$45:C62)+SUM(I$45:I62)+SUM(O$45:O62))/SUM($U$45:$U62)</f>
        <v>1.7398311585754427</v>
      </c>
      <c r="W62" s="446">
        <f>(SUM(D$45:D62)+SUM(J$45:J62)+SUM(P$45:P62))/SUM($U$45:$U62)</f>
        <v>6.0143122176764402E-2</v>
      </c>
      <c r="X62" s="446">
        <f>(SUM(E$45:E62)+SUM(K$45:K62)+SUM(Q$45:Q62))/SUM($U$45:$U62)</f>
        <v>0.18884898119401275</v>
      </c>
      <c r="Y62" s="446">
        <f>(SUM(F$45:F62)+SUM(L$45:L62)+SUM(R$45:R62))/SUM($U$45:$U62)</f>
        <v>0.56355311244386419</v>
      </c>
      <c r="Z62" s="446"/>
      <c r="AA62" s="446">
        <f t="shared" si="2"/>
        <v>2.552376374390084</v>
      </c>
      <c r="AB62" s="452"/>
      <c r="AD62" s="452"/>
    </row>
    <row r="63" spans="1:30">
      <c r="A63" s="366">
        <v>2044</v>
      </c>
      <c r="B63" s="438">
        <v>19</v>
      </c>
      <c r="C63" s="447">
        <f t="shared" si="3"/>
        <v>4950.8875493296755</v>
      </c>
      <c r="D63" s="448">
        <f t="shared" si="0"/>
        <v>6302.1886216173043</v>
      </c>
      <c r="E63" s="448">
        <f t="shared" si="4"/>
        <v>18172.66959283363</v>
      </c>
      <c r="F63" s="448">
        <f t="shared" si="5"/>
        <v>42286.404244862875</v>
      </c>
      <c r="G63" s="448"/>
      <c r="H63" s="449">
        <f t="shared" si="6"/>
        <v>71712.150008643483</v>
      </c>
      <c r="I63" s="447">
        <f>SUM([1]Reuse_LCI!$L$73:$L$83)+'[1]Eau &amp; Energie'!M26+'[1]Eau &amp; Energie'!N26</f>
        <v>219168.25799164551</v>
      </c>
      <c r="J63" s="448">
        <f>'[1]Eau &amp; Energie'!O26</f>
        <v>1921.1332190215348</v>
      </c>
      <c r="K63" s="448">
        <f>[1]Reuse_LCI!$L$90</f>
        <v>6000</v>
      </c>
      <c r="L63" s="448">
        <f>[1]Reuse_LCI!$L$96+'[1]Eau &amp; Energie'!P26</f>
        <v>32882.439407872742</v>
      </c>
      <c r="M63" s="448"/>
      <c r="N63" s="450">
        <f t="shared" si="7"/>
        <v>259971.8306185398</v>
      </c>
      <c r="O63" s="451">
        <v>0</v>
      </c>
      <c r="P63" s="425">
        <v>0</v>
      </c>
      <c r="Q63" s="425">
        <v>0</v>
      </c>
      <c r="R63" s="425">
        <v>0</v>
      </c>
      <c r="S63" s="448"/>
      <c r="T63" s="450">
        <f t="shared" si="8"/>
        <v>0</v>
      </c>
      <c r="U63" s="425">
        <f t="shared" si="1"/>
        <v>128000</v>
      </c>
      <c r="V63" s="445">
        <f>(SUM(C$45:C63)+SUM(I$45:I63)+SUM(O$45:O63))/SUM($U$45:$U63)</f>
        <v>1.740415351520886</v>
      </c>
      <c r="W63" s="446">
        <f>(SUM(D$45:D63)+SUM(J$45:J63)+SUM(P$45:P63))/SUM($U$45:$U63)</f>
        <v>6.0358994792723691E-2</v>
      </c>
      <c r="X63" s="446">
        <f>(SUM(E$45:E63)+SUM(K$45:K63)+SUM(Q$45:Q63))/SUM($U$45:$U63)</f>
        <v>0.18884898119401275</v>
      </c>
      <c r="Y63" s="446">
        <f>(SUM(F$45:F63)+SUM(L$45:L63)+SUM(R$45:R63))/SUM($U$45:$U63)</f>
        <v>0.56480066394876594</v>
      </c>
      <c r="Z63" s="446"/>
      <c r="AA63" s="446">
        <f t="shared" si="2"/>
        <v>2.5544239914563884</v>
      </c>
      <c r="AB63" s="452"/>
      <c r="AD63" s="452"/>
    </row>
    <row r="64" spans="1:30">
      <c r="A64" s="366">
        <v>2045</v>
      </c>
      <c r="B64" s="438">
        <v>20</v>
      </c>
      <c r="C64" s="447">
        <f t="shared" si="3"/>
        <v>4950.8875493296755</v>
      </c>
      <c r="D64" s="448">
        <f t="shared" si="0"/>
        <v>6302.1886216173043</v>
      </c>
      <c r="E64" s="448">
        <f t="shared" si="4"/>
        <v>18172.66959283363</v>
      </c>
      <c r="F64" s="448">
        <f t="shared" si="5"/>
        <v>42286.404244862875</v>
      </c>
      <c r="G64" s="448"/>
      <c r="H64" s="449">
        <f t="shared" si="6"/>
        <v>71712.150008643483</v>
      </c>
      <c r="I64" s="447">
        <f>SUM([1]Reuse_LCI!$L$73:$L$83)+'[1]Eau &amp; Energie'!M27+'[1]Eau &amp; Energie'!N27</f>
        <v>219355.4204479747</v>
      </c>
      <c r="J64" s="448">
        <f>'[1]Eau &amp; Energie'!O27</f>
        <v>1990.2940149063099</v>
      </c>
      <c r="K64" s="448">
        <f>[1]Reuse_LCI!$L$90</f>
        <v>6000</v>
      </c>
      <c r="L64" s="448">
        <f>[1]Reuse_LCI!$L$96+'[1]Eau &amp; Energie'!P27</f>
        <v>33282.127226556157</v>
      </c>
      <c r="M64" s="448"/>
      <c r="N64" s="450">
        <f t="shared" si="7"/>
        <v>260627.84168943716</v>
      </c>
      <c r="O64" s="451">
        <v>0</v>
      </c>
      <c r="P64" s="425">
        <v>0</v>
      </c>
      <c r="Q64" s="425">
        <v>0</v>
      </c>
      <c r="R64" s="425">
        <v>0</v>
      </c>
      <c r="S64" s="448"/>
      <c r="T64" s="450">
        <f t="shared" si="8"/>
        <v>0</v>
      </c>
      <c r="U64" s="425">
        <f t="shared" si="1"/>
        <v>128000</v>
      </c>
      <c r="V64" s="445">
        <f>(SUM(C$45:C64)+SUM(I$45:I64)+SUM(O$45:O64))/SUM($U$45:$U64)</f>
        <v>1.741014235506289</v>
      </c>
      <c r="W64" s="446">
        <f>(SUM(D$45:D64)+SUM(J$45:J64)+SUM(P$45:P64))/SUM($U$45:$U64)</f>
        <v>6.0580296082979546E-2</v>
      </c>
      <c r="X64" s="446">
        <f>(SUM(E$45:E64)+SUM(K$45:K64)+SUM(Q$45:Q64))/SUM($U$45:$U64)</f>
        <v>0.18884898119401272</v>
      </c>
      <c r="Y64" s="446">
        <f>(SUM(F$45:F64)+SUM(L$45:L64)+SUM(R$45:R64))/SUM($U$45:$U64)</f>
        <v>0.56607958835735062</v>
      </c>
      <c r="Z64" s="446"/>
      <c r="AA64" s="446">
        <f t="shared" si="2"/>
        <v>2.5565231011406317</v>
      </c>
      <c r="AB64" s="452">
        <f>AA64</f>
        <v>2.5565231011406317</v>
      </c>
      <c r="AC64" s="366" t="str">
        <f>TEXT(AB64,"0"&amp;MID(1/3,2,1)&amp;"00")&amp;" €/m"&amp;CHAR(179)</f>
        <v>2.56 €/m³</v>
      </c>
      <c r="AD64" s="452"/>
    </row>
    <row r="65" spans="1:30">
      <c r="A65" s="366">
        <v>2046</v>
      </c>
      <c r="B65" s="438">
        <v>21</v>
      </c>
      <c r="C65" s="447">
        <v>0</v>
      </c>
      <c r="D65" s="448">
        <v>0</v>
      </c>
      <c r="E65" s="448">
        <v>0</v>
      </c>
      <c r="F65" s="448">
        <v>0</v>
      </c>
      <c r="G65" s="448"/>
      <c r="H65" s="449">
        <f t="shared" si="6"/>
        <v>0</v>
      </c>
      <c r="I65" s="447">
        <f>SUM([1]Reuse_LCI!$L$73:$L$83)+'[1]Eau &amp; Energie'!M28+'[1]Eau &amp; Energie'!N28</f>
        <v>219549.32075273173</v>
      </c>
      <c r="J65" s="448">
        <f>'[1]Eau &amp; Energie'!O28</f>
        <v>2061.944599442937</v>
      </c>
      <c r="K65" s="448">
        <f>[1]Reuse_LCI!$L$90</f>
        <v>6000</v>
      </c>
      <c r="L65" s="448">
        <f>[1]Reuse_LCI!$L$96+'[1]Eau &amp; Energie'!P28</f>
        <v>33696.203806712176</v>
      </c>
      <c r="M65" s="448"/>
      <c r="N65" s="450">
        <f>SUM(I65:M65)</f>
        <v>261307.46915888684</v>
      </c>
      <c r="O65" s="451">
        <v>0</v>
      </c>
      <c r="P65" s="425">
        <v>0</v>
      </c>
      <c r="Q65" s="425">
        <v>0</v>
      </c>
      <c r="R65" s="425">
        <v>0</v>
      </c>
      <c r="S65" s="448"/>
      <c r="T65" s="450">
        <f t="shared" si="8"/>
        <v>0</v>
      </c>
      <c r="U65" s="425">
        <f t="shared" si="1"/>
        <v>128000</v>
      </c>
      <c r="V65" s="445">
        <f>(SUM(C$45:C65)+SUM(I$45:I65)+SUM(O$45:O65))/SUM($U$45:$U65)</f>
        <v>1.7397863704050711</v>
      </c>
      <c r="W65" s="446">
        <f>(SUM(D$45:D65)+SUM(J$45:J65)+SUM(P$45:P65))/SUM($U$45:$U65)</f>
        <v>5.8462612563939947E-2</v>
      </c>
      <c r="X65" s="446">
        <f>(SUM(E$45:E65)+SUM(K$45:K65)+SUM(Q$45:Q65))/SUM($U$45:$U65)</f>
        <v>0.18208831542286927</v>
      </c>
      <c r="Y65" s="446">
        <f>(SUM(F$45:F65)+SUM(L$45:L65)+SUM(R$45:R65))/SUM($U$45:$U65)</f>
        <v>0.55165920758985487</v>
      </c>
      <c r="Z65" s="446"/>
      <c r="AA65" s="446">
        <f t="shared" si="2"/>
        <v>2.5319965059817351</v>
      </c>
      <c r="AB65" s="446"/>
      <c r="AD65" s="452"/>
    </row>
    <row r="66" spans="1:30">
      <c r="A66" s="366">
        <v>2047</v>
      </c>
      <c r="B66" s="438">
        <v>22</v>
      </c>
      <c r="C66" s="447">
        <v>0</v>
      </c>
      <c r="D66" s="448">
        <v>0</v>
      </c>
      <c r="E66" s="448">
        <v>0</v>
      </c>
      <c r="F66" s="448">
        <v>0</v>
      </c>
      <c r="G66" s="448"/>
      <c r="H66" s="449">
        <f t="shared" si="6"/>
        <v>0</v>
      </c>
      <c r="I66" s="447">
        <f>SUM([1]Reuse_LCI!$L$73:$L$83)+'[1]Eau &amp; Energie'!M29+'[1]Eau &amp; Energie'!N29</f>
        <v>219750.20146845997</v>
      </c>
      <c r="J66" s="448">
        <f>'[1]Eau &amp; Energie'!O29</f>
        <v>2136.174605022883</v>
      </c>
      <c r="K66" s="448">
        <f>[1]Reuse_LCI!$L$90</f>
        <v>6000</v>
      </c>
      <c r="L66" s="448">
        <f>[1]Reuse_LCI!$L$96+'[1]Eau &amp; Energie'!P29</f>
        <v>34125.187143753821</v>
      </c>
      <c r="M66" s="448"/>
      <c r="N66" s="450">
        <f t="shared" si="7"/>
        <v>262011.56321723666</v>
      </c>
      <c r="O66" s="451">
        <v>0</v>
      </c>
      <c r="P66" s="425">
        <v>0</v>
      </c>
      <c r="Q66" s="425">
        <v>0</v>
      </c>
      <c r="R66" s="425">
        <v>0</v>
      </c>
      <c r="S66" s="448"/>
      <c r="T66" s="450">
        <f t="shared" si="8"/>
        <v>0</v>
      </c>
      <c r="U66" s="425">
        <f t="shared" si="1"/>
        <v>128000</v>
      </c>
      <c r="V66" s="445">
        <f>(SUM(C$45:C66)+SUM(I$45:I66)+SUM(O$45:O66))/SUM($U$45:$U66)</f>
        <v>1.7387414648854018</v>
      </c>
      <c r="W66" s="446">
        <f>(SUM(D$45:D66)+SUM(J$45:J66)+SUM(P$45:P66))/SUM($U$45:$U66)</f>
        <v>5.6563805815658189E-2</v>
      </c>
      <c r="X66" s="446">
        <f>(SUM(E$45:E66)+SUM(K$45:K66)+SUM(Q$45:Q66))/SUM($U$45:$U66)</f>
        <v>0.17594225563092067</v>
      </c>
      <c r="Y66" s="446">
        <f>(SUM(F$45:F66)+SUM(L$45:L66)+SUM(R$45:R66))/SUM($U$45:$U66)</f>
        <v>0.53870210836125132</v>
      </c>
      <c r="Z66" s="446"/>
      <c r="AA66" s="446">
        <f t="shared" si="2"/>
        <v>2.509949634693232</v>
      </c>
      <c r="AB66" s="452"/>
      <c r="AD66" s="452"/>
    </row>
    <row r="67" spans="1:30">
      <c r="A67" s="366">
        <v>2048</v>
      </c>
      <c r="B67" s="438">
        <v>23</v>
      </c>
      <c r="C67" s="447">
        <v>0</v>
      </c>
      <c r="D67" s="448">
        <v>0</v>
      </c>
      <c r="E67" s="448">
        <v>0</v>
      </c>
      <c r="F67" s="448">
        <v>0</v>
      </c>
      <c r="G67" s="448"/>
      <c r="H67" s="449">
        <f t="shared" si="6"/>
        <v>0</v>
      </c>
      <c r="I67" s="447">
        <f>SUM([1]Reuse_LCI!$L$73:$L$83)+'[1]Eau &amp; Energie'!M30+'[1]Eau &amp; Energie'!N30</f>
        <v>219958.31388995444</v>
      </c>
      <c r="J67" s="448">
        <f>'[1]Eau &amp; Energie'!O30</f>
        <v>2213.0768908037066</v>
      </c>
      <c r="K67" s="448">
        <f>[1]Reuse_LCI!$L$90</f>
        <v>6000</v>
      </c>
      <c r="L67" s="448">
        <f>[1]Reuse_LCI!$L$96+'[1]Eau &amp; Energie'!P30</f>
        <v>34569.613880928955</v>
      </c>
      <c r="M67" s="448"/>
      <c r="N67" s="450">
        <f t="shared" si="7"/>
        <v>262741.00466168707</v>
      </c>
      <c r="O67" s="451">
        <v>0</v>
      </c>
      <c r="P67" s="425">
        <v>0</v>
      </c>
      <c r="Q67" s="425">
        <v>0</v>
      </c>
      <c r="R67" s="425">
        <v>0</v>
      </c>
      <c r="S67" s="448"/>
      <c r="T67" s="450">
        <f t="shared" si="8"/>
        <v>0</v>
      </c>
      <c r="U67" s="425">
        <f t="shared" si="1"/>
        <v>128000</v>
      </c>
      <c r="V67" s="445">
        <f>(SUM(C$45:C67)+SUM(I$45:I67)+SUM(O$45:O67))/SUM($U$45:$U67)</f>
        <v>1.7378581110758309</v>
      </c>
      <c r="W67" s="446">
        <f>(SUM(D$45:D67)+SUM(J$45:J67)+SUM(P$45:P67))/SUM($U$45:$U67)</f>
        <v>5.485623439799496E-2</v>
      </c>
      <c r="X67" s="446">
        <f>(SUM(E$45:E67)+SUM(K$45:K67)+SUM(Q$45:Q67))/SUM($U$45:$U67)</f>
        <v>0.17033063582088065</v>
      </c>
      <c r="Y67" s="446">
        <f>(SUM(F$45:F67)+SUM(L$45:L67)+SUM(R$45:R67))/SUM($U$45:$U67)</f>
        <v>0.52702267358227328</v>
      </c>
      <c r="Z67" s="446"/>
      <c r="AA67" s="446">
        <f t="shared" si="2"/>
        <v>2.49006765487698</v>
      </c>
      <c r="AB67" s="452"/>
      <c r="AD67" s="452"/>
    </row>
    <row r="68" spans="1:30">
      <c r="A68" s="366">
        <v>2049</v>
      </c>
      <c r="B68" s="438">
        <v>24</v>
      </c>
      <c r="C68" s="447">
        <v>0</v>
      </c>
      <c r="D68" s="448">
        <v>0</v>
      </c>
      <c r="E68" s="448">
        <v>0</v>
      </c>
      <c r="F68" s="448">
        <v>0</v>
      </c>
      <c r="G68" s="448"/>
      <c r="H68" s="449">
        <f t="shared" si="6"/>
        <v>0</v>
      </c>
      <c r="I68" s="447">
        <f>SUM([1]Reuse_LCI!$L$73:$L$83)+'[1]Eau &amp; Energie'!M31+'[1]Eau &amp; Energie'!N31</f>
        <v>220173.91835862273</v>
      </c>
      <c r="J68" s="448">
        <f>'[1]Eau &amp; Energie'!O31</f>
        <v>2292.7476588726399</v>
      </c>
      <c r="K68" s="448">
        <f>[1]Reuse_LCI!$L$90</f>
        <v>6000</v>
      </c>
      <c r="L68" s="448">
        <f>[1]Reuse_LCI!$L$96+'[1]Eau &amp; Energie'!P31</f>
        <v>35030.039980642396</v>
      </c>
      <c r="M68" s="448"/>
      <c r="N68" s="450">
        <f t="shared" si="7"/>
        <v>263496.70599813777</v>
      </c>
      <c r="O68" s="451">
        <v>0</v>
      </c>
      <c r="P68" s="425">
        <v>0</v>
      </c>
      <c r="Q68" s="425">
        <v>0</v>
      </c>
      <c r="R68" s="425">
        <v>0</v>
      </c>
      <c r="S68" s="448"/>
      <c r="T68" s="450">
        <f t="shared" si="8"/>
        <v>0</v>
      </c>
      <c r="U68" s="425">
        <f t="shared" si="1"/>
        <v>128000</v>
      </c>
      <c r="V68" s="445">
        <f>(SUM(C$45:C68)+SUM(I$45:I68)+SUM(O$45:O68))/SUM($U$45:$U68)</f>
        <v>1.7371185538300353</v>
      </c>
      <c r="W68" s="446">
        <f>(SUM(D$45:D68)+SUM(J$45:J68)+SUM(P$45:P68))/SUM($U$45:$U68)</f>
        <v>5.3316895093284446E-2</v>
      </c>
      <c r="X68" s="446">
        <f>(SUM(E$45:E68)+SUM(K$45:K68)+SUM(Q$45:Q68))/SUM($U$45:$U68)</f>
        <v>0.16518665099501062</v>
      </c>
      <c r="Y68" s="446">
        <f>(SUM(F$45:F68)+SUM(L$45:L68)+SUM(R$45:R68))/SUM($U$45:$U68)</f>
        <v>0.51646640332254401</v>
      </c>
      <c r="Z68" s="446"/>
      <c r="AA68" s="446">
        <f t="shared" si="2"/>
        <v>2.4720885032408746</v>
      </c>
      <c r="AB68" s="452"/>
      <c r="AD68" s="452"/>
    </row>
    <row r="69" spans="1:30">
      <c r="A69" s="366">
        <v>2050</v>
      </c>
      <c r="B69" s="438">
        <v>25</v>
      </c>
      <c r="C69" s="447">
        <v>0</v>
      </c>
      <c r="D69" s="448">
        <v>0</v>
      </c>
      <c r="E69" s="448">
        <v>0</v>
      </c>
      <c r="F69" s="448">
        <v>0</v>
      </c>
      <c r="G69" s="448"/>
      <c r="H69" s="449">
        <f t="shared" si="6"/>
        <v>0</v>
      </c>
      <c r="I69" s="447">
        <f>SUM([1]Reuse_LCI!$L$73:$L$83)+'[1]Eau &amp; Energie'!M32+'[1]Eau &amp; Energie'!N32</f>
        <v>220397.28458816308</v>
      </c>
      <c r="J69" s="448">
        <f>'[1]Eau &amp; Energie'!O32</f>
        <v>2375.2865745920553</v>
      </c>
      <c r="K69" s="448">
        <f>[1]Reuse_LCI!$L$90</f>
        <v>6000</v>
      </c>
      <c r="L69" s="448">
        <f>[1]Reuse_LCI!$L$96+'[1]Eau &amp; Energie'!P32</f>
        <v>35507.041419945526</v>
      </c>
      <c r="M69" s="448"/>
      <c r="N69" s="450">
        <f t="shared" si="7"/>
        <v>264279.61258270068</v>
      </c>
      <c r="O69" s="451">
        <v>0</v>
      </c>
      <c r="P69" s="425">
        <v>0</v>
      </c>
      <c r="Q69" s="425">
        <v>0</v>
      </c>
      <c r="R69" s="425">
        <v>0</v>
      </c>
      <c r="S69" s="448"/>
      <c r="T69" s="450">
        <f>SUM(O69:S69)</f>
        <v>0</v>
      </c>
      <c r="U69" s="425">
        <f t="shared" si="1"/>
        <v>128000</v>
      </c>
      <c r="V69" s="445">
        <f>(SUM(C$45:C69)+SUM(I$45:I69)+SUM(O$45:O69))/SUM($U$45:$U69)</f>
        <v>1.7365079631106348</v>
      </c>
      <c r="W69" s="446">
        <f>(SUM(D$45:D69)+SUM(J$45:J69)+SUM(P$45:P69))/SUM($U$45:$U69)</f>
        <v>5.1926496344113081E-2</v>
      </c>
      <c r="X69" s="446">
        <f>(SUM(E$45:E69)+SUM(K$45:K69)+SUM(Q$45:Q69))/SUM($U$45:$U69)</f>
        <v>0.16045418495521019</v>
      </c>
      <c r="Y69" s="446">
        <f>(SUM(F$45:F69)+SUM(L$45:L69)+SUM(R$45:R69))/SUM($U$45:$U69)</f>
        <v>0.50690369763337517</v>
      </c>
      <c r="Z69" s="446"/>
      <c r="AA69" s="446">
        <f t="shared" si="2"/>
        <v>2.455792342043333</v>
      </c>
      <c r="AB69" s="452">
        <f>AA69</f>
        <v>2.455792342043333</v>
      </c>
      <c r="AC69" s="366" t="str">
        <f>TEXT(AB69,"0"&amp;MID(1/3,2,1)&amp;"00")&amp;" €/m"&amp;CHAR(179)</f>
        <v>2.46 €/m³</v>
      </c>
      <c r="AD69" s="452"/>
    </row>
    <row r="70" spans="1:30">
      <c r="A70" s="366">
        <v>2051</v>
      </c>
      <c r="B70" s="438">
        <v>26</v>
      </c>
      <c r="C70" s="447">
        <v>0</v>
      </c>
      <c r="D70" s="448">
        <v>0</v>
      </c>
      <c r="E70" s="448">
        <v>0</v>
      </c>
      <c r="F70" s="448">
        <v>0</v>
      </c>
      <c r="G70" s="448"/>
      <c r="H70" s="449">
        <f t="shared" si="6"/>
        <v>0</v>
      </c>
      <c r="I70" s="447">
        <f>SUM([1]Reuse_LCI!$L$73:$L$83)+'[1]Eau &amp; Energie'!M33+'[1]Eau &amp; Energie'!N33</f>
        <v>220628.69200196688</v>
      </c>
      <c r="J70" s="448">
        <f>'[1]Eau &amp; Energie'!O33</f>
        <v>2460.796891277369</v>
      </c>
      <c r="K70" s="448">
        <f>[1]Reuse_LCI!$L$90</f>
        <v>6000</v>
      </c>
      <c r="L70" s="448">
        <f>[1]Reuse_LCI!$L$96+'[1]Eau &amp; Energie'!P33</f>
        <v>36001.214911063566</v>
      </c>
      <c r="M70" s="448"/>
      <c r="N70" s="450">
        <f t="shared" si="7"/>
        <v>265090.70380430779</v>
      </c>
      <c r="O70" s="451">
        <v>0</v>
      </c>
      <c r="P70" s="425">
        <v>0</v>
      </c>
      <c r="Q70" s="425">
        <v>0</v>
      </c>
      <c r="R70" s="425">
        <v>0</v>
      </c>
      <c r="S70" s="448"/>
      <c r="T70" s="450">
        <f t="shared" si="8"/>
        <v>0</v>
      </c>
      <c r="U70" s="425">
        <f t="shared" si="1"/>
        <v>128000</v>
      </c>
      <c r="V70" s="445">
        <f>(SUM(C$45:C70)+SUM(I$45:I70)+SUM(O$45:O70))/SUM($U$45:$U70)</f>
        <v>1.7360138743858169</v>
      </c>
      <c r="W70" s="446">
        <f>(SUM(D$45:D70)+SUM(J$45:J70)+SUM(P$45:P70))/SUM($U$45:$U70)</f>
        <v>5.0668745550612751E-2</v>
      </c>
      <c r="X70" s="446">
        <f>(SUM(E$45:E70)+SUM(K$45:K70)+SUM(Q$45:Q70))/SUM($U$45:$U70)</f>
        <v>0.15608575476462519</v>
      </c>
      <c r="Y70" s="446">
        <f>(SUM(F$45:F70)+SUM(L$45:L70)+SUM(R$45:R70))/SUM($U$45:$U70)</f>
        <v>0.49822507432027163</v>
      </c>
      <c r="Z70" s="446"/>
      <c r="AA70" s="446">
        <f t="shared" si="2"/>
        <v>2.4409934490213265</v>
      </c>
      <c r="AB70" s="452"/>
      <c r="AD70" s="452"/>
    </row>
    <row r="71" spans="1:30">
      <c r="A71" s="366">
        <v>2052</v>
      </c>
      <c r="B71" s="438">
        <v>27</v>
      </c>
      <c r="C71" s="447">
        <v>0</v>
      </c>
      <c r="D71" s="448">
        <v>0</v>
      </c>
      <c r="E71" s="448">
        <v>0</v>
      </c>
      <c r="F71" s="448">
        <v>0</v>
      </c>
      <c r="G71" s="448"/>
      <c r="H71" s="449">
        <f t="shared" si="6"/>
        <v>0</v>
      </c>
      <c r="I71" s="447">
        <f>SUM([1]Reuse_LCI!$L$73:$L$83)+'[1]Eau &amp; Energie'!M34+'[1]Eau &amp; Energie'!N34</f>
        <v>220868.43008266759</v>
      </c>
      <c r="J71" s="448">
        <f>'[1]Eau &amp; Energie'!O34</f>
        <v>2549.3855793633543</v>
      </c>
      <c r="K71" s="448">
        <f>[1]Reuse_LCI!$L$90</f>
        <v>6000</v>
      </c>
      <c r="L71" s="448">
        <f>[1]Reuse_LCI!$L$96+'[1]Eau &amp; Energie'!P34</f>
        <v>36513.178647861852</v>
      </c>
      <c r="M71" s="448"/>
      <c r="N71" s="450">
        <f t="shared" si="7"/>
        <v>265930.99430989282</v>
      </c>
      <c r="O71" s="451">
        <v>0</v>
      </c>
      <c r="P71" s="425">
        <v>0</v>
      </c>
      <c r="Q71" s="425">
        <v>0</v>
      </c>
      <c r="R71" s="425">
        <v>0</v>
      </c>
      <c r="S71" s="448"/>
      <c r="T71" s="450">
        <f t="shared" si="8"/>
        <v>0</v>
      </c>
      <c r="U71" s="425">
        <f t="shared" si="1"/>
        <v>128000</v>
      </c>
      <c r="V71" s="445">
        <f>(SUM(C$45:C71)+SUM(I$45:I71)+SUM(O$45:O71))/SUM($U$45:$U71)</f>
        <v>1.7356257534834103</v>
      </c>
      <c r="W71" s="446">
        <f>(SUM(D$45:D71)+SUM(J$45:J71)+SUM(P$45:P71))/SUM($U$45:$U71)</f>
        <v>4.9529794783507691E-2</v>
      </c>
      <c r="X71" s="446">
        <f>(SUM(E$45:E71)+SUM(K$45:K71)+SUM(Q$45:Q71))/SUM($U$45:$U71)</f>
        <v>0.15204091199556499</v>
      </c>
      <c r="Y71" s="446">
        <f>(SUM(F$45:F71)+SUM(L$45:L71)+SUM(R$45:R71))/SUM($U$45:$U71)</f>
        <v>0.49033744964864756</v>
      </c>
      <c r="Z71" s="446"/>
      <c r="AA71" s="446">
        <f t="shared" si="2"/>
        <v>2.4275339099111304</v>
      </c>
      <c r="AB71" s="452"/>
      <c r="AD71" s="452"/>
    </row>
    <row r="72" spans="1:30">
      <c r="A72" s="366">
        <v>2053</v>
      </c>
      <c r="B72" s="438">
        <v>28</v>
      </c>
      <c r="C72" s="447">
        <v>0</v>
      </c>
      <c r="D72" s="448">
        <v>0</v>
      </c>
      <c r="E72" s="448">
        <v>0</v>
      </c>
      <c r="F72" s="448">
        <v>0</v>
      </c>
      <c r="G72" s="448"/>
      <c r="H72" s="449">
        <f t="shared" si="6"/>
        <v>0</v>
      </c>
      <c r="I72" s="447">
        <f>SUM([1]Reuse_LCI!$L$73:$L$83)+'[1]Eau &amp; Energie'!M35+'[1]Eau &amp; Energie'!N35</f>
        <v>221116.79873427353</v>
      </c>
      <c r="J72" s="448">
        <f>'[1]Eau &amp; Energie'!O35</f>
        <v>2641.1634602204354</v>
      </c>
      <c r="K72" s="448">
        <f>[1]Reuse_LCI!$L$90</f>
        <v>6000</v>
      </c>
      <c r="L72" s="448">
        <f>[1]Reuse_LCI!$L$96+'[1]Eau &amp; Energie'!P35</f>
        <v>37043.573079184876</v>
      </c>
      <c r="M72" s="448"/>
      <c r="N72" s="450">
        <f t="shared" si="7"/>
        <v>266801.53527367883</v>
      </c>
      <c r="O72" s="451">
        <v>0</v>
      </c>
      <c r="P72" s="425">
        <v>0</v>
      </c>
      <c r="Q72" s="425">
        <v>0</v>
      </c>
      <c r="R72" s="425">
        <v>0</v>
      </c>
      <c r="S72" s="448"/>
      <c r="T72" s="450">
        <f t="shared" si="8"/>
        <v>0</v>
      </c>
      <c r="U72" s="425">
        <f t="shared" si="1"/>
        <v>128000</v>
      </c>
      <c r="V72" s="445">
        <f>(SUM(C$45:C72)+SUM(I$45:I72)+SUM(O$45:O72))/SUM($U$45:$U72)</f>
        <v>1.7353346547915569</v>
      </c>
      <c r="W72" s="446">
        <f>(SUM(D$45:D72)+SUM(J$45:J72)+SUM(P$45:P72))/SUM($U$45:$U72)</f>
        <v>4.8497805310274283E-2</v>
      </c>
      <c r="X72" s="446">
        <f>(SUM(E$45:E72)+SUM(K$45:K72)+SUM(Q$45:Q72))/SUM($U$45:$U72)</f>
        <v>0.14828498656715194</v>
      </c>
      <c r="Y72" s="446">
        <f>(SUM(F$45:F72)+SUM(L$45:L72)+SUM(R$45:R72))/SUM($U$45:$U72)</f>
        <v>0.48316121625695063</v>
      </c>
      <c r="Z72" s="446"/>
      <c r="AA72" s="446">
        <f t="shared" si="2"/>
        <v>2.4152786629259335</v>
      </c>
      <c r="AB72" s="452"/>
      <c r="AD72" s="452"/>
    </row>
    <row r="73" spans="1:30">
      <c r="A73" s="366">
        <v>2054</v>
      </c>
      <c r="B73" s="438">
        <v>29</v>
      </c>
      <c r="C73" s="447">
        <v>0</v>
      </c>
      <c r="D73" s="448">
        <v>0</v>
      </c>
      <c r="E73" s="448">
        <v>0</v>
      </c>
      <c r="F73" s="448">
        <v>0</v>
      </c>
      <c r="G73" s="448"/>
      <c r="H73" s="449">
        <f t="shared" si="6"/>
        <v>0</v>
      </c>
      <c r="I73" s="447">
        <f>SUM([1]Reuse_LCI!$L$73:$L$83)+'[1]Eau &amp; Energie'!M36+'[1]Eau &amp; Energie'!N36</f>
        <v>221374.10865733732</v>
      </c>
      <c r="J73" s="448">
        <f>'[1]Eau &amp; Energie'!O36</f>
        <v>2736.2453447883709</v>
      </c>
      <c r="K73" s="448">
        <f>[1]Reuse_LCI!$L$90</f>
        <v>6000</v>
      </c>
      <c r="L73" s="448">
        <f>[1]Reuse_LCI!$L$96+'[1]Eau &amp; Energie'!P36</f>
        <v>37593.06171003553</v>
      </c>
      <c r="M73" s="448"/>
      <c r="N73" s="450">
        <f t="shared" si="7"/>
        <v>267703.41571216122</v>
      </c>
      <c r="O73" s="451">
        <v>0</v>
      </c>
      <c r="P73" s="425">
        <v>0</v>
      </c>
      <c r="Q73" s="425">
        <v>0</v>
      </c>
      <c r="R73" s="425">
        <v>0</v>
      </c>
      <c r="S73" s="448"/>
      <c r="T73" s="450">
        <f t="shared" si="8"/>
        <v>0</v>
      </c>
      <c r="U73" s="425">
        <f t="shared" si="1"/>
        <v>128000</v>
      </c>
      <c r="V73" s="445">
        <f>(SUM(C$45:C73)+SUM(I$45:I73)+SUM(O$45:O73))/SUM($U$45:$U73)</f>
        <v>1.7351329502775532</v>
      </c>
      <c r="W73" s="446">
        <f>(SUM(D$45:D73)+SUM(J$45:J73)+SUM(P$45:P73))/SUM($U$45:$U73)</f>
        <v>4.7562602256684107E-2</v>
      </c>
      <c r="X73" s="446">
        <f>(SUM(E$45:E73)+SUM(K$45:K73)+SUM(Q$45:Q73))/SUM($U$45:$U73)</f>
        <v>0.14478809047862948</v>
      </c>
      <c r="Y73" s="446">
        <f>(SUM(F$45:F73)+SUM(L$45:L73)+SUM(R$45:R73))/SUM($U$45:$U73)</f>
        <v>0.4766279258553196</v>
      </c>
      <c r="Z73" s="446"/>
      <c r="AA73" s="446">
        <f t="shared" si="2"/>
        <v>2.4041115688681862</v>
      </c>
      <c r="AB73" s="452"/>
      <c r="AD73" s="452"/>
    </row>
    <row r="74" spans="1:30">
      <c r="A74" s="366">
        <v>2055</v>
      </c>
      <c r="B74" s="454">
        <v>30</v>
      </c>
      <c r="C74" s="455">
        <v>0</v>
      </c>
      <c r="D74" s="456">
        <v>0</v>
      </c>
      <c r="E74" s="456">
        <v>0</v>
      </c>
      <c r="F74" s="456">
        <v>0</v>
      </c>
      <c r="G74" s="456"/>
      <c r="H74" s="457">
        <f t="shared" si="6"/>
        <v>0</v>
      </c>
      <c r="I74" s="455">
        <f>SUM([1]Reuse_LCI!$L$73:$L$83)+'[1]Eau &amp; Energie'!M37+'[1]Eau &amp; Energie'!N37</f>
        <v>221640.68173763141</v>
      </c>
      <c r="J74" s="456">
        <f>'[1]Eau &amp; Energie'!O37</f>
        <v>2834.7501772007522</v>
      </c>
      <c r="K74" s="456">
        <f>[1]Reuse_LCI!$L$90</f>
        <v>6000</v>
      </c>
      <c r="L74" s="456">
        <f>[1]Reuse_LCI!$L$96+'[1]Eau &amp; Energie'!P37</f>
        <v>38162.331931596811</v>
      </c>
      <c r="M74" s="456"/>
      <c r="N74" s="458">
        <f t="shared" si="7"/>
        <v>268637.76384642895</v>
      </c>
      <c r="O74" s="459">
        <v>0</v>
      </c>
      <c r="P74" s="460">
        <f>F38</f>
        <v>2500</v>
      </c>
      <c r="Q74" s="460">
        <f>G38</f>
        <v>21428.571428571428</v>
      </c>
      <c r="R74" s="460">
        <v>0</v>
      </c>
      <c r="S74" s="456"/>
      <c r="T74" s="458">
        <f t="shared" si="8"/>
        <v>23928.571428571428</v>
      </c>
      <c r="U74" s="460">
        <f t="shared" si="1"/>
        <v>128000</v>
      </c>
      <c r="V74" s="461">
        <f>(SUM(C$45:C74)+SUM(I$45:I74)+SUM(O$45:O74))/SUM($U$45:$U74)</f>
        <v>1.735014112804143</v>
      </c>
      <c r="W74" s="462">
        <f>(SUM(D$45:D74)+SUM(J$45:J74)+SUM(P$45:P74))/SUM($U$45:$U74)</f>
        <v>4.736644004010733E-2</v>
      </c>
      <c r="X74" s="462">
        <f>(SUM(E$45:E74)+SUM(K$45:K74)+SUM(Q$45:Q74))/SUM($U$45:$U74)</f>
        <v>0.14710467793886564</v>
      </c>
      <c r="Y74" s="462">
        <f>(SUM(F$45:F74)+SUM(L$45:L74)+SUM(R$45:R74))/SUM($U$45:$U74)</f>
        <v>0.4706784356006623</v>
      </c>
      <c r="Z74" s="462"/>
      <c r="AA74" s="462">
        <f t="shared" si="2"/>
        <v>2.400163666383778</v>
      </c>
      <c r="AB74" s="463">
        <f>AA74</f>
        <v>2.400163666383778</v>
      </c>
      <c r="AC74" s="453" t="str">
        <f>TEXT(AB74,"0"&amp;MID(1/3,2,1)&amp;"00")&amp;" €/m"&amp;CHAR(179)</f>
        <v>2.40 €/m³</v>
      </c>
      <c r="AD74" s="452"/>
    </row>
    <row r="76" spans="1:30">
      <c r="S76" s="464"/>
    </row>
    <row r="78" spans="1:30" ht="15">
      <c r="Y78" s="466"/>
      <c r="Z78" s="466"/>
    </row>
    <row r="81" s="366" customFormat="1"/>
    <row r="82" s="366" customFormat="1"/>
    <row r="83" s="366" customFormat="1"/>
    <row r="84" s="366" customFormat="1"/>
    <row r="85" s="366" customFormat="1"/>
    <row r="86" s="366" customFormat="1"/>
    <row r="87" s="366" customFormat="1"/>
    <row r="88" s="366" customFormat="1"/>
    <row r="89" s="366" customFormat="1"/>
    <row r="90" s="366" customFormat="1"/>
    <row r="91" s="366" customFormat="1"/>
    <row r="92" s="366" customFormat="1"/>
    <row r="93" s="366" customFormat="1"/>
    <row r="94" s="366" customFormat="1"/>
    <row r="95" s="366" customFormat="1"/>
    <row r="96" s="366" customFormat="1"/>
    <row r="97" s="366" customFormat="1"/>
    <row r="98" s="366" customFormat="1"/>
    <row r="99" s="366" customFormat="1"/>
    <row r="100" s="366" customFormat="1"/>
    <row r="101" s="366" customFormat="1"/>
    <row r="102" s="366" customFormat="1"/>
    <row r="103" s="366" customFormat="1"/>
    <row r="104" s="366" customFormat="1"/>
    <row r="105" s="366" customFormat="1"/>
    <row r="106" s="366" customFormat="1"/>
    <row r="107" s="366" customFormat="1"/>
    <row r="108" s="366" customFormat="1"/>
    <row r="109" s="366" customFormat="1"/>
    <row r="110" s="366" customFormat="1"/>
    <row r="111" s="366" customFormat="1"/>
    <row r="112" s="366" customFormat="1"/>
    <row r="113" s="366" customFormat="1"/>
    <row r="114" s="366" customFormat="1"/>
    <row r="115" s="366" customFormat="1"/>
    <row r="116" s="366" customFormat="1"/>
    <row r="117" s="366" customFormat="1"/>
    <row r="118" s="366" customFormat="1"/>
    <row r="119" s="366" customFormat="1"/>
    <row r="120" s="366" customFormat="1"/>
    <row r="121" s="366" customFormat="1"/>
    <row r="122" s="366" customFormat="1"/>
    <row r="123" s="366" customFormat="1"/>
    <row r="124" s="366" customFormat="1"/>
    <row r="125" s="366" customFormat="1"/>
    <row r="126" s="366" customFormat="1"/>
    <row r="127" s="366" customFormat="1"/>
    <row r="128" s="366" customFormat="1"/>
    <row r="129" s="366" customFormat="1"/>
    <row r="130" s="366" customFormat="1"/>
    <row r="131" s="366" customFormat="1"/>
    <row r="132" s="366" customFormat="1"/>
    <row r="133" s="366" customFormat="1"/>
    <row r="134" s="366" customFormat="1"/>
    <row r="135" s="366" customFormat="1"/>
    <row r="136" s="366" customFormat="1"/>
    <row r="137" s="366" customFormat="1"/>
    <row r="138" s="366" customFormat="1"/>
    <row r="139" s="366" customFormat="1"/>
    <row r="140" s="366" customFormat="1"/>
    <row r="141" s="366" customFormat="1"/>
    <row r="142" s="366" customFormat="1"/>
    <row r="143" s="366" customFormat="1"/>
    <row r="144" s="366" customFormat="1"/>
    <row r="145" s="366" customFormat="1"/>
    <row r="146" s="366" customFormat="1"/>
    <row r="147" s="366" customFormat="1"/>
    <row r="148" s="366" customFormat="1"/>
    <row r="149" s="366" customFormat="1"/>
    <row r="150" s="366" customFormat="1"/>
    <row r="151" s="366" customFormat="1"/>
    <row r="152" s="366" customFormat="1"/>
    <row r="153" s="366" customFormat="1"/>
    <row r="154" s="366" customFormat="1"/>
    <row r="155" s="366" customFormat="1"/>
    <row r="156" s="366" customFormat="1"/>
    <row r="157" s="366" customFormat="1"/>
    <row r="158" s="366" customFormat="1"/>
    <row r="159" s="366" customFormat="1"/>
    <row r="160" s="366" customFormat="1"/>
    <row r="161" s="366" customFormat="1"/>
    <row r="162" s="366" customFormat="1"/>
    <row r="163" s="366" customFormat="1"/>
    <row r="164" s="366" customFormat="1"/>
    <row r="165" s="366" customFormat="1"/>
  </sheetData>
  <mergeCells count="1">
    <mergeCell ref="B41:B43"/>
  </mergeCells>
  <pageMargins left="0.7" right="0.7" top="0.75" bottom="0.75" header="0.3" footer="0.3"/>
  <pageSetup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54D6-A6AE-4C0D-974E-1FA7CEF27760}">
  <sheetPr>
    <tabColor rgb="FF800074"/>
  </sheetPr>
  <dimension ref="A1:AB84"/>
  <sheetViews>
    <sheetView topLeftCell="A4" zoomScale="68" zoomScaleNormal="68" workbookViewId="0">
      <selection activeCell="D15" sqref="D15"/>
    </sheetView>
  </sheetViews>
  <sheetFormatPr defaultColWidth="11.42578125" defaultRowHeight="14.1"/>
  <cols>
    <col min="1" max="1" width="21.85546875" style="366" customWidth="1"/>
    <col min="2" max="2" width="39.85546875" style="366" customWidth="1"/>
    <col min="3" max="3" width="23.42578125" style="366" customWidth="1"/>
    <col min="4" max="4" width="18.5703125" style="366" customWidth="1"/>
    <col min="5" max="5" width="21.5703125" style="366" customWidth="1"/>
    <col min="6" max="6" width="17.85546875" style="366" customWidth="1"/>
    <col min="7" max="7" width="21.42578125" style="366" customWidth="1"/>
    <col min="8" max="8" width="18.42578125" style="366" customWidth="1"/>
    <col min="9" max="9" width="19.42578125" style="366" customWidth="1"/>
    <col min="10" max="14" width="15.5703125" style="366" customWidth="1"/>
    <col min="15" max="15" width="22" style="366" customWidth="1"/>
    <col min="16" max="17" width="15.5703125" style="366" customWidth="1"/>
    <col min="18" max="18" width="14.5703125" style="366" customWidth="1"/>
    <col min="19" max="22" width="15" style="366" customWidth="1"/>
    <col min="23" max="23" width="13.140625" style="366" customWidth="1"/>
    <col min="24" max="24" width="11.42578125" style="366"/>
    <col min="25" max="25" width="6.85546875" style="366" bestFit="1" customWidth="1"/>
    <col min="26" max="30" width="11.42578125" style="366"/>
    <col min="31" max="31" width="4.42578125" style="366" customWidth="1"/>
    <col min="32" max="32" width="11.42578125" style="366"/>
    <col min="33" max="33" width="16.42578125" style="366" customWidth="1"/>
    <col min="34" max="34" width="11.42578125" style="366"/>
    <col min="35" max="35" width="3.85546875" style="366" customWidth="1"/>
    <col min="36" max="16384" width="11.42578125" style="366"/>
  </cols>
  <sheetData>
    <row r="1" spans="1:21" ht="45.6">
      <c r="A1" s="365" t="s">
        <v>741</v>
      </c>
    </row>
    <row r="3" spans="1:21">
      <c r="A3" s="479" t="s">
        <v>742</v>
      </c>
      <c r="B3" s="356" t="s">
        <v>609</v>
      </c>
      <c r="C3" s="357" t="s">
        <v>180</v>
      </c>
      <c r="D3" s="357" t="s">
        <v>743</v>
      </c>
      <c r="E3" s="357" t="s">
        <v>744</v>
      </c>
      <c r="F3" s="357" t="s">
        <v>745</v>
      </c>
      <c r="G3" s="356" t="s">
        <v>746</v>
      </c>
      <c r="H3" s="356" t="s">
        <v>747</v>
      </c>
      <c r="I3" s="356" t="s">
        <v>748</v>
      </c>
      <c r="J3" s="356" t="s">
        <v>749</v>
      </c>
    </row>
    <row r="4" spans="1:21" s="367" customFormat="1">
      <c r="A4" s="479"/>
      <c r="B4" s="358" t="s">
        <v>616</v>
      </c>
      <c r="C4" s="359">
        <v>10482.32</v>
      </c>
      <c r="D4" s="360">
        <v>564.70000000000005</v>
      </c>
      <c r="E4" s="360">
        <f>2.4*1800</f>
        <v>4320</v>
      </c>
      <c r="F4" s="360">
        <f>0.79*1800</f>
        <v>1422</v>
      </c>
      <c r="G4" s="361">
        <v>78200</v>
      </c>
      <c r="H4" s="362">
        <f>((C4-D4)+D5)/G4</f>
        <v>0.13856291560102302</v>
      </c>
      <c r="I4" s="363">
        <f>((C4-D4)+E4)/G4</f>
        <v>0.18206675191815855</v>
      </c>
      <c r="J4" s="364">
        <f>((C4-D4)+F4)/G4</f>
        <v>0.14500792838874679</v>
      </c>
    </row>
    <row r="5" spans="1:21">
      <c r="A5" s="479"/>
      <c r="B5" s="467"/>
      <c r="C5" s="467"/>
      <c r="D5" s="360">
        <f>0.51*1800</f>
        <v>918</v>
      </c>
      <c r="E5" s="467"/>
      <c r="F5" s="467"/>
      <c r="G5" s="467"/>
      <c r="H5" s="360"/>
      <c r="I5" s="360"/>
      <c r="J5" s="360"/>
      <c r="L5" s="366" t="str">
        <f>MID(1/3,2,1)</f>
        <v>.</v>
      </c>
    </row>
    <row r="6" spans="1:21">
      <c r="C6" s="366" t="s">
        <v>750</v>
      </c>
    </row>
    <row r="7" spans="1:21" ht="14.45" thickBot="1">
      <c r="A7" s="367"/>
      <c r="B7" s="367" t="str">
        <f>"Price cost for individual irrigation and fertilisation - Operation of "&amp;TEXT(D8,"0")&amp;" years ("&amp;TEXT(D33,"0 000") &amp;" m"&amp;CHAR(179)&amp;"/year)"</f>
        <v>Price cost for individual irrigation and fertilisation - Operation of 30 years (128 000 m³/year)</v>
      </c>
      <c r="C7" s="367"/>
      <c r="D7" s="367"/>
      <c r="E7" s="367"/>
      <c r="F7" s="367"/>
      <c r="G7" s="367"/>
      <c r="H7" s="367"/>
      <c r="I7" s="367"/>
      <c r="J7" s="367"/>
      <c r="K7" s="367"/>
      <c r="L7" s="367"/>
      <c r="M7" s="367"/>
      <c r="N7" s="367"/>
      <c r="O7" s="367"/>
      <c r="P7" s="367"/>
      <c r="Q7" s="367"/>
      <c r="R7" s="367"/>
      <c r="S7" s="367"/>
      <c r="T7" s="367"/>
      <c r="U7" s="367"/>
    </row>
    <row r="8" spans="1:21">
      <c r="B8" s="368" t="s">
        <v>685</v>
      </c>
      <c r="C8" s="369" t="s">
        <v>686</v>
      </c>
      <c r="D8" s="370">
        <v>30</v>
      </c>
      <c r="E8" s="371"/>
      <c r="F8" s="371"/>
      <c r="G8" s="371"/>
      <c r="H8" s="371"/>
      <c r="I8" s="371"/>
      <c r="J8" s="372"/>
    </row>
    <row r="9" spans="1:21">
      <c r="B9" s="373"/>
      <c r="J9" s="374"/>
    </row>
    <row r="10" spans="1:21" ht="15.95">
      <c r="B10" s="373"/>
      <c r="E10" s="375" t="s">
        <v>720</v>
      </c>
      <c r="F10" s="375"/>
      <c r="G10" s="375"/>
      <c r="H10" s="375"/>
      <c r="I10" s="375"/>
      <c r="J10" s="376" t="s">
        <v>687</v>
      </c>
      <c r="L10" s="377" t="s">
        <v>688</v>
      </c>
      <c r="M10" s="377"/>
    </row>
    <row r="11" spans="1:21" ht="15.95">
      <c r="B11" s="378" t="s">
        <v>689</v>
      </c>
      <c r="C11" s="377" t="s">
        <v>690</v>
      </c>
      <c r="D11" s="379"/>
      <c r="E11" s="380">
        <f>SUMIF(B48:B77,D8,P48:P77)</f>
        <v>0.50692096893434613</v>
      </c>
      <c r="F11" s="380"/>
      <c r="G11" s="380"/>
      <c r="H11" s="380"/>
      <c r="I11" s="380"/>
      <c r="J11" s="381">
        <f>SUM(E11:G11)</f>
        <v>0.50692096893434613</v>
      </c>
      <c r="L11" s="366" t="str">
        <f>TEXT(J11,"0"&amp;MID(1/3,2,1)&amp;"00")&amp;" €/m"&amp;CHAR(179)</f>
        <v>0.51 €/m³</v>
      </c>
      <c r="M11" s="382"/>
    </row>
    <row r="12" spans="1:21" ht="14.45" thickBot="1">
      <c r="E12" s="382"/>
      <c r="F12" s="382"/>
      <c r="G12" s="382"/>
      <c r="H12" s="382"/>
      <c r="I12" s="382"/>
      <c r="J12" s="382"/>
    </row>
    <row r="13" spans="1:21">
      <c r="B13" s="383" t="s">
        <v>751</v>
      </c>
      <c r="C13" s="369"/>
      <c r="D13" s="369"/>
      <c r="E13" s="384">
        <f>E11/$J11</f>
        <v>1</v>
      </c>
      <c r="F13" s="384"/>
      <c r="G13" s="384"/>
      <c r="H13" s="384"/>
      <c r="I13" s="384"/>
      <c r="J13" s="385"/>
      <c r="K13" s="386">
        <f>J13-SUM(E13:I13)</f>
        <v>-1</v>
      </c>
    </row>
    <row r="14" spans="1:21">
      <c r="E14" s="382"/>
      <c r="F14" s="382"/>
      <c r="G14" s="382"/>
      <c r="H14" s="382"/>
      <c r="I14" s="382"/>
      <c r="J14" s="382"/>
    </row>
    <row r="15" spans="1:21" s="367" customFormat="1">
      <c r="A15" s="366"/>
      <c r="B15" s="366"/>
      <c r="C15" s="366"/>
      <c r="D15" s="366"/>
      <c r="E15" s="382"/>
      <c r="F15" s="382"/>
      <c r="G15" s="382"/>
      <c r="H15" s="382"/>
      <c r="I15" s="382"/>
      <c r="J15" s="382"/>
      <c r="K15" s="366"/>
      <c r="L15" s="366"/>
      <c r="M15" s="366"/>
      <c r="N15" s="366"/>
      <c r="O15" s="366"/>
      <c r="P15" s="366"/>
      <c r="Q15" s="366"/>
      <c r="R15" s="366"/>
      <c r="S15" s="366"/>
      <c r="T15" s="366"/>
      <c r="U15" s="366"/>
    </row>
    <row r="18" spans="1:21" ht="14.45" thickBot="1">
      <c r="A18" s="367"/>
      <c r="B18" s="367" t="s">
        <v>722</v>
      </c>
      <c r="C18" s="367"/>
      <c r="D18" s="367"/>
      <c r="E18" s="367"/>
      <c r="F18" s="367"/>
      <c r="G18" s="367"/>
      <c r="H18" s="367"/>
      <c r="I18" s="367"/>
      <c r="J18" s="367"/>
      <c r="K18" s="367"/>
      <c r="L18" s="367"/>
      <c r="M18" s="367"/>
      <c r="N18" s="367"/>
      <c r="O18" s="367"/>
      <c r="P18" s="367"/>
      <c r="Q18" s="367"/>
      <c r="R18" s="367"/>
      <c r="S18" s="367"/>
      <c r="T18" s="367"/>
      <c r="U18" s="367"/>
    </row>
    <row r="19" spans="1:21">
      <c r="B19" s="368"/>
      <c r="C19" s="371"/>
      <c r="D19" s="387" t="s">
        <v>384</v>
      </c>
      <c r="E19" s="375" t="s">
        <v>720</v>
      </c>
      <c r="F19" s="375"/>
      <c r="G19" s="375"/>
      <c r="H19" s="375"/>
      <c r="I19" s="375"/>
      <c r="J19" s="388"/>
      <c r="K19" s="388"/>
      <c r="L19" s="388"/>
      <c r="M19" s="388"/>
      <c r="N19" s="388"/>
      <c r="O19" s="388"/>
      <c r="P19" s="388"/>
      <c r="Q19" s="388"/>
      <c r="R19" s="389"/>
    </row>
    <row r="20" spans="1:21">
      <c r="B20" s="378" t="s">
        <v>693</v>
      </c>
      <c r="C20" s="379"/>
      <c r="D20" s="390">
        <f>SUM(E20:I20)</f>
        <v>774000</v>
      </c>
      <c r="E20" s="391">
        <f>E21+E23+E25</f>
        <v>774000</v>
      </c>
      <c r="F20" s="391"/>
      <c r="G20" s="391"/>
      <c r="H20" s="391"/>
      <c r="I20" s="392"/>
      <c r="J20" s="388"/>
      <c r="K20" s="388"/>
      <c r="L20" s="388"/>
      <c r="M20" s="388"/>
      <c r="N20" s="388"/>
      <c r="O20" s="388"/>
      <c r="P20" s="388"/>
      <c r="Q20" s="388"/>
      <c r="R20" s="389"/>
    </row>
    <row r="21" spans="1:21" ht="14.45">
      <c r="B21" s="393" t="s">
        <v>694</v>
      </c>
      <c r="C21" s="394" t="s">
        <v>156</v>
      </c>
      <c r="D21" s="395">
        <f>SUM(E21:I21)</f>
        <v>774000</v>
      </c>
      <c r="E21" s="396">
        <f>[1]Noreuse_LCI!L13+[1]Noreuse_LCI!L14</f>
        <v>774000</v>
      </c>
      <c r="F21" s="397"/>
      <c r="G21" s="397"/>
      <c r="H21" s="397"/>
      <c r="I21" s="398"/>
      <c r="J21" s="399"/>
      <c r="K21" s="400"/>
      <c r="L21" s="400"/>
      <c r="M21" s="400"/>
      <c r="N21" s="400"/>
      <c r="O21" s="400"/>
      <c r="P21" s="400"/>
      <c r="Q21" s="400"/>
    </row>
    <row r="22" spans="1:21">
      <c r="B22" s="393" t="s">
        <v>695</v>
      </c>
      <c r="C22" s="394" t="s">
        <v>752</v>
      </c>
      <c r="D22" s="401"/>
      <c r="E22" s="401"/>
      <c r="F22" s="401"/>
      <c r="G22" s="401"/>
      <c r="H22" s="401"/>
      <c r="I22" s="402"/>
      <c r="J22" s="399"/>
      <c r="K22" s="400"/>
      <c r="L22" s="400"/>
      <c r="M22" s="400"/>
      <c r="N22" s="400"/>
      <c r="O22" s="400"/>
      <c r="P22" s="400"/>
      <c r="Q22" s="400"/>
    </row>
    <row r="23" spans="1:21" ht="14.45">
      <c r="B23" s="393"/>
      <c r="C23" s="394" t="s">
        <v>156</v>
      </c>
      <c r="D23" s="395">
        <f>SUM(E23:I23)</f>
        <v>0</v>
      </c>
      <c r="E23" s="397"/>
      <c r="F23" s="397"/>
      <c r="G23" s="397"/>
      <c r="H23" s="397"/>
      <c r="I23" s="398"/>
      <c r="J23" s="399"/>
      <c r="K23" s="400"/>
      <c r="L23" s="400"/>
      <c r="M23" s="400"/>
      <c r="N23" s="400"/>
      <c r="O23" s="400"/>
      <c r="P23" s="400"/>
      <c r="Q23" s="400"/>
    </row>
    <row r="24" spans="1:21">
      <c r="B24" s="393" t="s">
        <v>697</v>
      </c>
      <c r="C24" s="394" t="s">
        <v>696</v>
      </c>
      <c r="D24" s="401"/>
      <c r="E24" s="401"/>
      <c r="F24" s="401"/>
      <c r="G24" s="401"/>
      <c r="H24" s="401"/>
      <c r="I24" s="402"/>
      <c r="J24" s="399"/>
      <c r="K24" s="400"/>
      <c r="L24" s="400"/>
      <c r="M24" s="400"/>
      <c r="N24" s="400"/>
      <c r="O24" s="400"/>
      <c r="P24" s="400"/>
      <c r="Q24" s="400"/>
    </row>
    <row r="25" spans="1:21" ht="14.45">
      <c r="B25" s="393"/>
      <c r="C25" s="394" t="s">
        <v>156</v>
      </c>
      <c r="D25" s="395">
        <f>SUM(E25:I25)</f>
        <v>0</v>
      </c>
      <c r="E25" s="397"/>
      <c r="F25" s="397"/>
      <c r="G25" s="397"/>
      <c r="H25" s="397"/>
      <c r="I25" s="398"/>
      <c r="J25" s="399"/>
      <c r="K25" s="400"/>
      <c r="L25" s="400"/>
      <c r="M25" s="400"/>
      <c r="N25" s="400"/>
      <c r="O25" s="400"/>
      <c r="P25" s="400"/>
      <c r="Q25" s="400"/>
    </row>
    <row r="26" spans="1:21">
      <c r="B26" s="378" t="s">
        <v>698</v>
      </c>
      <c r="C26" s="379" t="s">
        <v>560</v>
      </c>
      <c r="D26" s="379"/>
      <c r="E26" s="403">
        <v>20</v>
      </c>
      <c r="F26" s="404"/>
      <c r="G26" s="404"/>
      <c r="H26" s="404"/>
      <c r="I26" s="405"/>
      <c r="J26" s="399"/>
      <c r="K26" s="400"/>
      <c r="L26" s="400"/>
      <c r="M26" s="400"/>
      <c r="N26" s="400"/>
      <c r="O26" s="400"/>
      <c r="P26" s="400"/>
      <c r="Q26" s="400"/>
    </row>
    <row r="27" spans="1:21">
      <c r="B27" s="378" t="s">
        <v>699</v>
      </c>
      <c r="C27" s="379" t="s">
        <v>686</v>
      </c>
      <c r="D27" s="379"/>
      <c r="E27" s="406">
        <v>1.4999999999999999E-2</v>
      </c>
      <c r="F27" s="407"/>
      <c r="G27" s="407"/>
      <c r="H27" s="407"/>
      <c r="I27" s="408"/>
      <c r="J27" s="399"/>
      <c r="K27" s="400"/>
      <c r="L27" s="400"/>
      <c r="M27" s="400"/>
      <c r="N27" s="400"/>
      <c r="O27" s="400"/>
      <c r="P27" s="400"/>
      <c r="Q27" s="400"/>
    </row>
    <row r="28" spans="1:21">
      <c r="B28" s="378" t="s">
        <v>700</v>
      </c>
      <c r="C28" s="379" t="s">
        <v>686</v>
      </c>
      <c r="D28" s="379"/>
      <c r="E28" s="403">
        <v>30</v>
      </c>
      <c r="F28" s="404"/>
      <c r="G28" s="404"/>
      <c r="H28" s="404"/>
      <c r="I28" s="405"/>
      <c r="J28" s="399"/>
      <c r="K28" s="400"/>
      <c r="L28" s="400"/>
      <c r="M28" s="400"/>
      <c r="N28" s="400"/>
      <c r="O28" s="400"/>
      <c r="P28" s="400"/>
      <c r="Q28" s="400"/>
    </row>
    <row r="29" spans="1:21" s="367" customFormat="1">
      <c r="A29" s="366"/>
      <c r="B29" s="409" t="s">
        <v>729</v>
      </c>
      <c r="C29" s="410" t="s">
        <v>170</v>
      </c>
      <c r="D29" s="390">
        <f>SUM(E29:I29)</f>
        <v>45082.199566837277</v>
      </c>
      <c r="E29" s="411">
        <f>E20*MAX(E27,0.0000001)/(1-(1+MAX(E27,0.0000001))^(-E26))</f>
        <v>45082.199566837277</v>
      </c>
      <c r="F29" s="411"/>
      <c r="G29" s="411"/>
      <c r="H29" s="411"/>
      <c r="I29" s="412"/>
      <c r="J29" s="399"/>
      <c r="K29" s="400"/>
      <c r="L29" s="400"/>
      <c r="M29" s="400"/>
      <c r="N29" s="400"/>
      <c r="O29" s="400"/>
      <c r="P29" s="400"/>
      <c r="Q29" s="400"/>
      <c r="R29" s="366"/>
      <c r="S29" s="366"/>
      <c r="T29" s="366"/>
      <c r="U29" s="366"/>
    </row>
    <row r="31" spans="1:21">
      <c r="E31" s="413"/>
      <c r="F31" s="413"/>
      <c r="G31" s="413"/>
      <c r="H31" s="413"/>
      <c r="I31" s="413"/>
      <c r="J31" s="413"/>
      <c r="K31" s="413"/>
      <c r="L31" s="413"/>
      <c r="M31" s="413"/>
      <c r="N31" s="413"/>
      <c r="O31" s="413"/>
      <c r="P31" s="413"/>
      <c r="Q31" s="413"/>
    </row>
    <row r="32" spans="1:21" ht="14.45" thickBot="1">
      <c r="A32" s="367"/>
      <c r="B32" s="367" t="s">
        <v>702</v>
      </c>
      <c r="C32" s="367"/>
      <c r="D32" s="367"/>
      <c r="E32" s="367"/>
      <c r="F32" s="367"/>
      <c r="G32" s="367"/>
      <c r="H32" s="367"/>
      <c r="I32" s="367"/>
      <c r="J32" s="367"/>
      <c r="K32" s="367"/>
      <c r="L32" s="367"/>
      <c r="M32" s="367"/>
      <c r="N32" s="367"/>
      <c r="O32" s="367"/>
      <c r="P32" s="367"/>
      <c r="Q32" s="367"/>
      <c r="R32" s="367"/>
      <c r="S32" s="367"/>
      <c r="T32" s="367"/>
      <c r="U32" s="367"/>
    </row>
    <row r="33" spans="1:24" ht="14.45" thickBot="1">
      <c r="B33" s="414" t="s">
        <v>715</v>
      </c>
      <c r="C33" s="415" t="s">
        <v>110</v>
      </c>
      <c r="D33" s="416">
        <f>'[1]Eau &amp; Energie'!E39/30</f>
        <v>128000</v>
      </c>
      <c r="E33" s="413"/>
      <c r="F33" s="413"/>
      <c r="G33" s="413"/>
      <c r="H33" s="413"/>
      <c r="I33" s="413"/>
      <c r="J33" s="413"/>
      <c r="K33" s="413"/>
      <c r="L33" s="413"/>
      <c r="M33" s="413"/>
      <c r="N33" s="413"/>
      <c r="O33" s="413"/>
      <c r="P33" s="413"/>
      <c r="Q33" s="413"/>
    </row>
    <row r="34" spans="1:24" ht="14.45" thickBot="1">
      <c r="B34" s="413"/>
      <c r="C34" s="413"/>
      <c r="D34" s="413"/>
      <c r="E34" s="413"/>
      <c r="F34" s="413"/>
      <c r="G34" s="413"/>
      <c r="H34" s="413"/>
      <c r="I34" s="413"/>
      <c r="J34" s="413"/>
      <c r="K34" s="413"/>
      <c r="L34" s="413"/>
      <c r="M34" s="413"/>
      <c r="N34" s="413"/>
      <c r="O34" s="413"/>
      <c r="P34" s="413"/>
      <c r="Q34" s="413"/>
    </row>
    <row r="35" spans="1:24">
      <c r="B35" s="368"/>
      <c r="C35" s="371"/>
      <c r="D35" s="371"/>
      <c r="E35" s="375" t="s">
        <v>720</v>
      </c>
      <c r="F35" s="375"/>
      <c r="G35" s="375"/>
      <c r="H35" s="375"/>
      <c r="I35" s="375"/>
      <c r="J35" s="388"/>
      <c r="K35" s="388"/>
      <c r="L35" s="388"/>
      <c r="M35" s="388"/>
      <c r="N35" s="388"/>
      <c r="O35" s="388"/>
      <c r="P35" s="388"/>
      <c r="Q35" s="388"/>
      <c r="R35" s="389"/>
    </row>
    <row r="36" spans="1:24" ht="14.45" thickBot="1">
      <c r="B36" s="417" t="s">
        <v>704</v>
      </c>
      <c r="C36" s="418" t="s">
        <v>170</v>
      </c>
      <c r="D36" s="418"/>
      <c r="E36" s="419"/>
      <c r="F36" s="468"/>
      <c r="G36" s="468"/>
      <c r="H36" s="469"/>
      <c r="I36" s="470"/>
      <c r="J36" s="420"/>
      <c r="K36" s="420"/>
      <c r="L36" s="420"/>
      <c r="M36" s="420"/>
      <c r="N36" s="420"/>
      <c r="O36" s="420"/>
      <c r="P36" s="420"/>
      <c r="Q36" s="420"/>
    </row>
    <row r="37" spans="1:24" ht="14.45" thickBot="1">
      <c r="B37" s="421" t="s">
        <v>706</v>
      </c>
      <c r="C37" s="422" t="s">
        <v>170</v>
      </c>
      <c r="D37" s="422"/>
      <c r="E37" s="423">
        <f>SUM(E36)</f>
        <v>0</v>
      </c>
      <c r="F37" s="423">
        <f>SUM(F36)</f>
        <v>0</v>
      </c>
      <c r="G37" s="423"/>
      <c r="H37" s="423"/>
      <c r="I37" s="424"/>
      <c r="J37" s="425"/>
      <c r="K37" s="425"/>
      <c r="L37" s="425"/>
      <c r="M37" s="425"/>
      <c r="N37" s="425"/>
      <c r="O37" s="425"/>
      <c r="P37" s="425"/>
      <c r="Q37" s="425"/>
    </row>
    <row r="39" spans="1:24">
      <c r="A39" s="367"/>
      <c r="B39" s="367" t="s">
        <v>708</v>
      </c>
      <c r="C39" s="367"/>
      <c r="D39" s="367"/>
      <c r="E39" s="367"/>
      <c r="F39" s="367"/>
      <c r="G39" s="471"/>
      <c r="H39" s="471"/>
      <c r="I39" s="367"/>
      <c r="J39" s="367"/>
      <c r="K39" s="367"/>
      <c r="L39" s="367"/>
      <c r="M39" s="367"/>
      <c r="N39" s="367"/>
      <c r="O39" s="367"/>
    </row>
    <row r="40" spans="1:24" s="367" customFormat="1">
      <c r="A40" s="366"/>
      <c r="B40" s="366"/>
      <c r="C40" s="366"/>
      <c r="D40" s="366"/>
      <c r="E40" s="375" t="s">
        <v>720</v>
      </c>
      <c r="F40" s="375"/>
      <c r="G40" s="375"/>
      <c r="H40" s="366"/>
      <c r="I40" s="366"/>
      <c r="J40" s="366"/>
      <c r="K40" s="366"/>
      <c r="L40" s="366"/>
      <c r="M40" s="366"/>
      <c r="N40" s="366"/>
      <c r="O40" s="366"/>
      <c r="P40" s="366"/>
      <c r="Q40" s="366"/>
      <c r="R40" s="366"/>
      <c r="S40" s="366"/>
      <c r="T40" s="366"/>
      <c r="U40" s="366"/>
    </row>
    <row r="41" spans="1:24" ht="14.45" thickBot="1">
      <c r="E41" s="419"/>
      <c r="F41" s="468"/>
      <c r="G41" s="468"/>
    </row>
    <row r="43" spans="1:24" ht="51" customHeight="1" thickBot="1">
      <c r="A43" s="367"/>
      <c r="B43" s="367" t="s">
        <v>753</v>
      </c>
      <c r="C43" s="367"/>
      <c r="D43" s="367"/>
      <c r="E43" s="426"/>
      <c r="F43" s="367"/>
      <c r="G43" s="367"/>
      <c r="H43" s="367"/>
      <c r="I43" s="367"/>
      <c r="J43" s="367"/>
      <c r="K43" s="367"/>
      <c r="L43" s="367"/>
      <c r="M43" s="367"/>
      <c r="N43" s="367"/>
      <c r="O43" s="367"/>
      <c r="P43" s="367"/>
      <c r="Q43" s="367"/>
      <c r="R43" s="367"/>
      <c r="S43" s="367"/>
      <c r="T43" s="367"/>
      <c r="U43" s="367"/>
    </row>
    <row r="44" spans="1:24" ht="11.25" customHeight="1">
      <c r="B44" s="476" t="s">
        <v>710</v>
      </c>
      <c r="C44" s="427" t="s">
        <v>754</v>
      </c>
      <c r="D44" s="427"/>
      <c r="F44" s="427"/>
      <c r="G44" s="428"/>
      <c r="H44" s="427"/>
      <c r="I44" s="427" t="s">
        <v>704</v>
      </c>
      <c r="J44" s="429"/>
      <c r="K44" s="428"/>
      <c r="L44" s="427"/>
      <c r="M44" s="427" t="s">
        <v>712</v>
      </c>
      <c r="N44" s="429"/>
      <c r="O44" s="427" t="s">
        <v>713</v>
      </c>
      <c r="P44" s="428"/>
      <c r="Q44" s="427"/>
      <c r="R44" s="427" t="s">
        <v>714</v>
      </c>
      <c r="S44" s="427"/>
      <c r="T44" s="427"/>
    </row>
    <row r="45" spans="1:24">
      <c r="B45" s="477"/>
      <c r="C45" s="430"/>
      <c r="D45" s="431"/>
      <c r="E45" s="431"/>
      <c r="F45" s="431"/>
      <c r="G45" s="430"/>
      <c r="H45" s="431"/>
      <c r="I45" s="431"/>
      <c r="J45" s="432"/>
      <c r="K45" s="430"/>
      <c r="L45" s="431"/>
      <c r="M45" s="431"/>
      <c r="N45" s="432"/>
      <c r="O45" s="431"/>
      <c r="P45" s="430"/>
      <c r="Q45" s="431"/>
      <c r="R45" s="431"/>
      <c r="S45" s="431"/>
      <c r="T45" s="431"/>
      <c r="X45" s="446"/>
    </row>
    <row r="46" spans="1:24" ht="14.45" thickBot="1">
      <c r="B46" s="478"/>
      <c r="C46" s="375" t="s">
        <v>720</v>
      </c>
      <c r="D46" s="375"/>
      <c r="E46" s="375"/>
      <c r="F46" s="433" t="s">
        <v>687</v>
      </c>
      <c r="G46" s="375" t="s">
        <v>720</v>
      </c>
      <c r="H46" s="375"/>
      <c r="I46" s="375"/>
      <c r="J46" s="434" t="s">
        <v>687</v>
      </c>
      <c r="K46" s="375" t="s">
        <v>720</v>
      </c>
      <c r="L46" s="375"/>
      <c r="M46" s="375"/>
      <c r="N46" s="434" t="s">
        <v>687</v>
      </c>
      <c r="O46" s="433" t="s">
        <v>740</v>
      </c>
      <c r="P46" s="375" t="s">
        <v>720</v>
      </c>
      <c r="Q46" s="375"/>
      <c r="R46" s="375"/>
      <c r="S46" s="433" t="s">
        <v>687</v>
      </c>
      <c r="T46" s="433"/>
      <c r="X46" s="452"/>
    </row>
    <row r="47" spans="1:24" ht="14.45" thickBot="1">
      <c r="A47" s="366">
        <v>2025</v>
      </c>
      <c r="B47" s="435">
        <v>0</v>
      </c>
      <c r="C47" s="436"/>
      <c r="D47" s="388"/>
      <c r="E47" s="388"/>
      <c r="F47" s="388"/>
      <c r="G47" s="436"/>
      <c r="H47" s="388"/>
      <c r="I47" s="388"/>
      <c r="J47" s="437"/>
      <c r="K47" s="436"/>
      <c r="L47" s="388"/>
      <c r="M47" s="388"/>
      <c r="N47" s="437"/>
      <c r="O47" s="388"/>
      <c r="P47" s="436"/>
      <c r="Q47" s="388"/>
      <c r="R47" s="388"/>
      <c r="S47" s="388"/>
      <c r="T47" s="388"/>
      <c r="X47" s="452"/>
    </row>
    <row r="48" spans="1:24">
      <c r="A48" s="366">
        <v>2026</v>
      </c>
      <c r="B48" s="438">
        <v>1</v>
      </c>
      <c r="C48" s="443">
        <f>$E$29</f>
        <v>45082.199566837277</v>
      </c>
      <c r="D48" s="440"/>
      <c r="E48" s="440"/>
      <c r="F48" s="441">
        <f>SUM(C48:E48)</f>
        <v>45082.199566837277</v>
      </c>
      <c r="G48" s="443">
        <f>'[1]Eau &amp; Energie'!Y8+[1]Noreuse_LCI!$L$27</f>
        <v>29548.944</v>
      </c>
      <c r="H48" s="440"/>
      <c r="I48" s="444"/>
      <c r="J48" s="442">
        <f>SUM(G48:I48)</f>
        <v>29548.944</v>
      </c>
      <c r="K48" s="443"/>
      <c r="L48" s="444"/>
      <c r="M48" s="444"/>
      <c r="N48" s="442">
        <f>SUM(K48:M48)</f>
        <v>0</v>
      </c>
      <c r="O48" s="425">
        <f>$D$33</f>
        <v>128000</v>
      </c>
      <c r="P48" s="445">
        <f>(SUM(C$48:C48)+SUM(G$48:G48)+SUM(K$48:K48))/SUM($O$48:$O48)</f>
        <v>0.58305580911591615</v>
      </c>
      <c r="Q48" s="446">
        <f>(SUM(D$48:D48)+SUM(H$48:H48)+SUM(L$48:L48))/SUM($O$48:$O48)</f>
        <v>0</v>
      </c>
      <c r="R48" s="446"/>
      <c r="S48" s="446">
        <f>SUM(P48:R48)</f>
        <v>0.58305580911591615</v>
      </c>
      <c r="T48" s="446"/>
      <c r="X48" s="452"/>
    </row>
    <row r="49" spans="1:24">
      <c r="A49" s="366">
        <v>2027</v>
      </c>
      <c r="B49" s="438">
        <v>2</v>
      </c>
      <c r="C49" s="451">
        <f>$E$29</f>
        <v>45082.199566837277</v>
      </c>
      <c r="D49" s="448"/>
      <c r="E49" s="448"/>
      <c r="F49" s="449">
        <f>SUM(C49:E49)</f>
        <v>45082.199566837277</v>
      </c>
      <c r="G49" s="451">
        <f>'[1]Eau &amp; Energie'!Y9+[1]Noreuse_LCI!$L$27</f>
        <v>29802.705984</v>
      </c>
      <c r="H49" s="448"/>
      <c r="I49" s="425"/>
      <c r="J49" s="450">
        <f>SUM(G49:I49)</f>
        <v>29802.705984</v>
      </c>
      <c r="K49" s="451"/>
      <c r="L49" s="425"/>
      <c r="M49" s="425"/>
      <c r="N49" s="450">
        <f>SUM(K49:M49)</f>
        <v>0</v>
      </c>
      <c r="O49" s="425">
        <f>O48</f>
        <v>128000</v>
      </c>
      <c r="P49" s="445">
        <f>(SUM(C$48:C49)+SUM(G$48:G49)+SUM(K$48:K49))/SUM($O$48:$O49)</f>
        <v>0.58404706686591623</v>
      </c>
      <c r="Q49" s="446">
        <f>(SUM(D$48:D49)+SUM(H$48:H49)+SUM(L$48:L49))/SUM($O$48:$O49)</f>
        <v>0</v>
      </c>
      <c r="R49" s="446"/>
      <c r="S49" s="446">
        <f>SUM(P49:R49)</f>
        <v>0.58404706686591623</v>
      </c>
      <c r="T49" s="452"/>
      <c r="X49" s="452"/>
    </row>
    <row r="50" spans="1:24">
      <c r="A50" s="366">
        <v>2028</v>
      </c>
      <c r="B50" s="438">
        <v>3</v>
      </c>
      <c r="C50" s="451">
        <f>$E$29</f>
        <v>45082.199566837277</v>
      </c>
      <c r="D50" s="448"/>
      <c r="E50" s="448"/>
      <c r="F50" s="449">
        <f>SUM(C50:E50)</f>
        <v>45082.199566837277</v>
      </c>
      <c r="G50" s="451">
        <f>'[1]Eau &amp; Energie'!Y10+[1]Noreuse_LCI!$L$27</f>
        <v>30065.603399423999</v>
      </c>
      <c r="H50" s="448"/>
      <c r="I50" s="425"/>
      <c r="J50" s="450">
        <f>SUM(G50:I50)</f>
        <v>30065.603399423999</v>
      </c>
      <c r="K50" s="451"/>
      <c r="L50" s="425"/>
      <c r="M50" s="425"/>
      <c r="N50" s="450">
        <f>SUM(K50:M50)</f>
        <v>0</v>
      </c>
      <c r="O50" s="425">
        <f>O49</f>
        <v>128000</v>
      </c>
      <c r="P50" s="445">
        <f>(SUM(C$48:C50)+SUM(G$48:G50)+SUM(K$48:K50))/SUM($O$48:$O50)</f>
        <v>0.58506211480191617</v>
      </c>
      <c r="Q50" s="446">
        <f>(SUM(D$48:D50)+SUM(H$48:H50)+SUM(L$48:L50))/SUM($O$48:$O50)</f>
        <v>0</v>
      </c>
      <c r="R50" s="446"/>
      <c r="S50" s="446">
        <f>SUM(P50:R50)</f>
        <v>0.58506211480191617</v>
      </c>
      <c r="T50" s="452"/>
      <c r="X50" s="452"/>
    </row>
    <row r="51" spans="1:24">
      <c r="A51" s="366">
        <v>2029</v>
      </c>
      <c r="B51" s="438">
        <v>4</v>
      </c>
      <c r="C51" s="451">
        <f>$E$29</f>
        <v>45082.199566837277</v>
      </c>
      <c r="D51" s="448"/>
      <c r="E51" s="448"/>
      <c r="F51" s="449">
        <f>SUM(C51:E51)</f>
        <v>45082.199566837277</v>
      </c>
      <c r="G51" s="451">
        <f>'[1]Eau &amp; Energie'!Y11+[1]Noreuse_LCI!$L$27</f>
        <v>30337.965121803263</v>
      </c>
      <c r="H51" s="448"/>
      <c r="I51" s="425"/>
      <c r="J51" s="450">
        <f>SUM(G51:I51)</f>
        <v>30337.965121803263</v>
      </c>
      <c r="K51" s="451"/>
      <c r="L51" s="425"/>
      <c r="M51" s="425"/>
      <c r="N51" s="450">
        <f>SUM(K51:M51)</f>
        <v>0</v>
      </c>
      <c r="O51" s="425">
        <f>O50</f>
        <v>128000</v>
      </c>
      <c r="P51" s="445">
        <f>(SUM(C$48:C51)+SUM(G$48:G51)+SUM(K$48:K51))/SUM($O$48:$O51)</f>
        <v>0.58610159525893823</v>
      </c>
      <c r="Q51" s="446">
        <f>(SUM(D$48:D51)+SUM(H$48:H51)+SUM(L$48:L51))/SUM($O$48:$O51)</f>
        <v>0</v>
      </c>
      <c r="R51" s="446"/>
      <c r="S51" s="446">
        <f>SUM(P51:R51)</f>
        <v>0.58610159525893823</v>
      </c>
      <c r="T51" s="452"/>
      <c r="X51" s="452"/>
    </row>
    <row r="52" spans="1:24">
      <c r="A52" s="366">
        <v>2030</v>
      </c>
      <c r="B52" s="438">
        <v>5</v>
      </c>
      <c r="C52" s="451">
        <f>$E$29</f>
        <v>45082.199566837277</v>
      </c>
      <c r="D52" s="448"/>
      <c r="E52" s="448"/>
      <c r="F52" s="449">
        <f>SUM(C52:E52)</f>
        <v>45082.199566837277</v>
      </c>
      <c r="G52" s="451">
        <f>'[1]Eau &amp; Energie'!Y12+[1]Noreuse_LCI!$L$27</f>
        <v>30620.131866188181</v>
      </c>
      <c r="H52" s="448"/>
      <c r="I52" s="425"/>
      <c r="J52" s="450">
        <f>SUM(G52:I52)</f>
        <v>30620.131866188181</v>
      </c>
      <c r="K52" s="451"/>
      <c r="L52" s="425"/>
      <c r="M52" s="425"/>
      <c r="N52" s="450">
        <f>SUM(K52:M52)</f>
        <v>0</v>
      </c>
      <c r="O52" s="425">
        <f>O51</f>
        <v>128000</v>
      </c>
      <c r="P52" s="445">
        <f>(SUM(C$48:C52)+SUM(G$48:G52)+SUM(K$48:K52))/SUM($O$48:$O52)</f>
        <v>0.58716616907125285</v>
      </c>
      <c r="Q52" s="446">
        <f>(SUM(D$48:D52)+SUM(H$48:H52)+SUM(L$48:L52))/SUM($O$48:$O52)</f>
        <v>0</v>
      </c>
      <c r="R52" s="446"/>
      <c r="S52" s="446">
        <f>SUM(P52:R52)</f>
        <v>0.58716616907125285</v>
      </c>
      <c r="T52" s="452">
        <f>S52</f>
        <v>0.58716616907125285</v>
      </c>
      <c r="U52" s="366" t="str">
        <f>TEXT(T52,"0"&amp;MID(1/3,2,1)&amp;"00")&amp;" €/m"&amp;CHAR(179)</f>
        <v>0.59 €/m³</v>
      </c>
      <c r="X52" s="452"/>
    </row>
    <row r="53" spans="1:24">
      <c r="A53" s="366">
        <v>2031</v>
      </c>
      <c r="B53" s="438">
        <v>6</v>
      </c>
      <c r="C53" s="451">
        <f>$E$29</f>
        <v>45082.199566837277</v>
      </c>
      <c r="D53" s="448"/>
      <c r="E53" s="448"/>
      <c r="F53" s="449">
        <f>SUM(C53:E53)</f>
        <v>45082.199566837277</v>
      </c>
      <c r="G53" s="451">
        <f>'[1]Eau &amp; Energie'!Y13+[1]Noreuse_LCI!$L$27</f>
        <v>30912.456613370956</v>
      </c>
      <c r="H53" s="448"/>
      <c r="I53" s="425"/>
      <c r="J53" s="450">
        <f>SUM(G53:I53)</f>
        <v>30912.456613370956</v>
      </c>
      <c r="K53" s="451"/>
      <c r="L53" s="425"/>
      <c r="M53" s="425"/>
      <c r="N53" s="450">
        <f>SUM(K53:M53)</f>
        <v>0</v>
      </c>
      <c r="O53" s="425">
        <f>O52</f>
        <v>128000</v>
      </c>
      <c r="P53" s="445">
        <f>(SUM(C$48:C53)+SUM(G$48:G53)+SUM(K$48:K53))/SUM($O$48:$O53)</f>
        <v>0.58825651612735674</v>
      </c>
      <c r="Q53" s="446">
        <f>(SUM(D$48:D53)+SUM(H$48:H53)+SUM(L$48:L53))/SUM($O$48:$O53)</f>
        <v>0</v>
      </c>
      <c r="R53" s="446"/>
      <c r="S53" s="446">
        <f>SUM(P53:R53)</f>
        <v>0.58825651612735674</v>
      </c>
      <c r="T53" s="452"/>
      <c r="X53" s="452"/>
    </row>
    <row r="54" spans="1:24">
      <c r="A54" s="366">
        <v>2032</v>
      </c>
      <c r="B54" s="438">
        <v>7</v>
      </c>
      <c r="C54" s="451">
        <f>$E$29</f>
        <v>45082.199566837277</v>
      </c>
      <c r="D54" s="448"/>
      <c r="E54" s="448"/>
      <c r="F54" s="449">
        <f>SUM(C54:E54)</f>
        <v>45082.199566837277</v>
      </c>
      <c r="G54" s="451">
        <f>'[1]Eau &amp; Energie'!Y14+[1]Noreuse_LCI!$L$27</f>
        <v>31215.305051452309</v>
      </c>
      <c r="H54" s="448"/>
      <c r="I54" s="425"/>
      <c r="J54" s="450">
        <f>SUM(G54:I54)</f>
        <v>31215.305051452309</v>
      </c>
      <c r="K54" s="451"/>
      <c r="L54" s="425"/>
      <c r="M54" s="425"/>
      <c r="N54" s="450">
        <f>SUM(K54:M54)</f>
        <v>0</v>
      </c>
      <c r="O54" s="425">
        <f>O53</f>
        <v>128000</v>
      </c>
      <c r="P54" s="445">
        <f>(SUM(C$48:C54)+SUM(G$48:G54)+SUM(K$48:K54))/SUM($O$48:$O54)</f>
        <v>0.58937333594207553</v>
      </c>
      <c r="Q54" s="446">
        <f>(SUM(D$48:D54)+SUM(H$48:H54)+SUM(L$48:L54))/SUM($O$48:$O54)</f>
        <v>0</v>
      </c>
      <c r="R54" s="446"/>
      <c r="S54" s="446">
        <f>SUM(P54:R54)</f>
        <v>0.58937333594207553</v>
      </c>
      <c r="T54" s="452"/>
      <c r="X54" s="452"/>
    </row>
    <row r="55" spans="1:24">
      <c r="A55" s="366">
        <v>2033</v>
      </c>
      <c r="B55" s="438">
        <v>8</v>
      </c>
      <c r="C55" s="451">
        <f>$E$29</f>
        <v>45082.199566837277</v>
      </c>
      <c r="D55" s="448"/>
      <c r="E55" s="448"/>
      <c r="F55" s="449">
        <f>SUM(C55:E55)</f>
        <v>45082.199566837277</v>
      </c>
      <c r="G55" s="451">
        <f>'[1]Eau &amp; Energie'!Y15+[1]Noreuse_LCI!$L$27</f>
        <v>31529.056033304594</v>
      </c>
      <c r="H55" s="448"/>
      <c r="I55" s="425"/>
      <c r="J55" s="450">
        <f>SUM(G55:I55)</f>
        <v>31529.056033304594</v>
      </c>
      <c r="K55" s="451"/>
      <c r="L55" s="425"/>
      <c r="M55" s="425"/>
      <c r="N55" s="450">
        <f>SUM(K55:M55)</f>
        <v>0</v>
      </c>
      <c r="O55" s="425">
        <f>O54</f>
        <v>128000</v>
      </c>
      <c r="P55" s="445">
        <f>(SUM(C$48:C55)+SUM(G$48:G55)+SUM(K$48:K55))/SUM($O$48:$O55)</f>
        <v>0.59051734824632951</v>
      </c>
      <c r="Q55" s="446">
        <f>(SUM(D$48:D55)+SUM(H$48:H55)+SUM(L$48:L55))/SUM($O$48:$O55)</f>
        <v>0</v>
      </c>
      <c r="R55" s="446"/>
      <c r="S55" s="446">
        <f>SUM(P55:R55)</f>
        <v>0.59051734824632951</v>
      </c>
      <c r="T55" s="452"/>
      <c r="X55" s="452"/>
    </row>
    <row r="56" spans="1:24">
      <c r="A56" s="366">
        <v>2034</v>
      </c>
      <c r="B56" s="438">
        <v>9</v>
      </c>
      <c r="C56" s="451">
        <f>$E$29</f>
        <v>45082.199566837277</v>
      </c>
      <c r="D56" s="448"/>
      <c r="E56" s="448"/>
      <c r="F56" s="449">
        <f>SUM(C56:E56)</f>
        <v>45082.199566837277</v>
      </c>
      <c r="G56" s="451">
        <f>'[1]Eau &amp; Energie'!Y16+[1]Noreuse_LCI!$L$27</f>
        <v>31854.102050503559</v>
      </c>
      <c r="H56" s="448"/>
      <c r="I56" s="425"/>
      <c r="J56" s="450">
        <f>SUM(G56:I56)</f>
        <v>31854.102050503559</v>
      </c>
      <c r="K56" s="451"/>
      <c r="L56" s="425"/>
      <c r="M56" s="425"/>
      <c r="N56" s="450">
        <f>SUM(K56:M56)</f>
        <v>0</v>
      </c>
      <c r="O56" s="425">
        <f>O55</f>
        <v>128000</v>
      </c>
      <c r="P56" s="445">
        <f>(SUM(C$48:C56)+SUM(G$48:G56)+SUM(K$48:K56))/SUM($O$48:$O56)</f>
        <v>0.59168929359512357</v>
      </c>
      <c r="Q56" s="446">
        <f>(SUM(D$48:D56)+SUM(H$48:H56)+SUM(L$48:L56))/SUM($O$48:$O56)</f>
        <v>0</v>
      </c>
      <c r="R56" s="446"/>
      <c r="S56" s="446">
        <f>SUM(P56:R56)</f>
        <v>0.59168929359512357</v>
      </c>
      <c r="T56" s="452"/>
      <c r="X56" s="452"/>
    </row>
    <row r="57" spans="1:24">
      <c r="A57" s="366">
        <v>2035</v>
      </c>
      <c r="B57" s="438">
        <v>10</v>
      </c>
      <c r="C57" s="451">
        <f>$E$29</f>
        <v>45082.199566837277</v>
      </c>
      <c r="D57" s="448"/>
      <c r="E57" s="448"/>
      <c r="F57" s="449">
        <f>SUM(C57:E57)</f>
        <v>45082.199566837277</v>
      </c>
      <c r="G57" s="451">
        <f>'[1]Eau &amp; Energie'!Y17+[1]Noreuse_LCI!$L$27</f>
        <v>32190.849724321684</v>
      </c>
      <c r="H57" s="448"/>
      <c r="I57" s="425"/>
      <c r="J57" s="450">
        <f>SUM(G57:I57)</f>
        <v>32190.849724321684</v>
      </c>
      <c r="K57" s="451"/>
      <c r="L57" s="425"/>
      <c r="M57" s="425"/>
      <c r="N57" s="450">
        <f>SUM(K57:M57)</f>
        <v>0</v>
      </c>
      <c r="O57" s="425">
        <f>O56</f>
        <v>128000</v>
      </c>
      <c r="P57" s="445">
        <f>(SUM(C$48:C57)+SUM(G$48:G57)+SUM(K$48:K57))/SUM($O$48:$O57)</f>
        <v>0.5928899339943291</v>
      </c>
      <c r="Q57" s="446">
        <f>(SUM(D$48:D57)+SUM(H$48:H57)+SUM(L$48:L57))/SUM($O$48:$O57)</f>
        <v>0</v>
      </c>
      <c r="R57" s="446"/>
      <c r="S57" s="446">
        <f>SUM(P57:R57)</f>
        <v>0.5928899339943291</v>
      </c>
      <c r="T57" s="452">
        <f>S57</f>
        <v>0.5928899339943291</v>
      </c>
      <c r="U57" s="366" t="str">
        <f>TEXT(T57,"0"&amp;MID(1/3,2,1)&amp;"00")&amp;" €/m"&amp;CHAR(179)</f>
        <v>0.59 €/m³</v>
      </c>
      <c r="X57" s="452"/>
    </row>
    <row r="58" spans="1:24">
      <c r="A58" s="366">
        <v>2036</v>
      </c>
      <c r="B58" s="438">
        <v>11</v>
      </c>
      <c r="C58" s="451">
        <f>$E$29</f>
        <v>45082.199566837277</v>
      </c>
      <c r="D58" s="448"/>
      <c r="E58" s="448"/>
      <c r="F58" s="449">
        <f>SUM(C58:E58)</f>
        <v>45082.199566837277</v>
      </c>
      <c r="G58" s="451">
        <f>'[1]Eau &amp; Energie'!Y18+[1]Noreuse_LCI!$L$27</f>
        <v>32539.720314397266</v>
      </c>
      <c r="H58" s="448"/>
      <c r="I58" s="425"/>
      <c r="J58" s="450">
        <f>SUM(G58:I58)</f>
        <v>32539.720314397266</v>
      </c>
      <c r="K58" s="451"/>
      <c r="L58" s="425"/>
      <c r="M58" s="425"/>
      <c r="N58" s="450">
        <f>SUM(K58:M58)</f>
        <v>0</v>
      </c>
      <c r="O58" s="425">
        <f>O57</f>
        <v>128000</v>
      </c>
      <c r="P58" s="445">
        <f>(SUM(C$48:C58)+SUM(G$48:G58)+SUM(K$48:K58))/SUM($O$48:$O58)</f>
        <v>0.59412005354685793</v>
      </c>
      <c r="Q58" s="446">
        <f>(SUM(D$48:D58)+SUM(H$48:H58)+SUM(L$48:L58))/SUM($O$48:$O58)</f>
        <v>0</v>
      </c>
      <c r="R58" s="446"/>
      <c r="S58" s="446">
        <f>SUM(P58:R58)</f>
        <v>0.59412005354685793</v>
      </c>
      <c r="T58" s="446"/>
      <c r="X58" s="452"/>
    </row>
    <row r="59" spans="1:24">
      <c r="A59" s="366">
        <v>2037</v>
      </c>
      <c r="B59" s="438">
        <v>12</v>
      </c>
      <c r="C59" s="451">
        <f>$E$29</f>
        <v>45082.199566837277</v>
      </c>
      <c r="D59" s="448"/>
      <c r="E59" s="448"/>
      <c r="F59" s="449">
        <f>SUM(C59:E59)</f>
        <v>45082.199566837277</v>
      </c>
      <c r="G59" s="451">
        <f>'[1]Eau &amp; Energie'!Y19+[1]Noreuse_LCI!$L$27</f>
        <v>32901.150245715573</v>
      </c>
      <c r="H59" s="448"/>
      <c r="I59" s="425"/>
      <c r="J59" s="450">
        <f>SUM(G59:I59)</f>
        <v>32901.150245715573</v>
      </c>
      <c r="K59" s="451"/>
      <c r="L59" s="425"/>
      <c r="M59" s="425"/>
      <c r="N59" s="450">
        <f>SUM(K59:M59)</f>
        <v>0</v>
      </c>
      <c r="O59" s="425">
        <f>O58</f>
        <v>128000</v>
      </c>
      <c r="P59" s="445">
        <f>(SUM(C$48:C59)+SUM(G$48:G59)+SUM(K$48:K59))/SUM($O$48:$O59)</f>
        <v>0.59538045911883375</v>
      </c>
      <c r="Q59" s="446">
        <f>(SUM(D$48:D59)+SUM(H$48:H59)+SUM(L$48:L59))/SUM($O$48:$O59)</f>
        <v>0</v>
      </c>
      <c r="R59" s="446"/>
      <c r="S59" s="446">
        <f>SUM(P59:R59)</f>
        <v>0.59538045911883375</v>
      </c>
      <c r="T59" s="452"/>
      <c r="X59" s="452"/>
    </row>
    <row r="60" spans="1:24">
      <c r="A60" s="366">
        <v>2038</v>
      </c>
      <c r="B60" s="438">
        <v>13</v>
      </c>
      <c r="C60" s="451">
        <f>$E$29</f>
        <v>45082.199566837277</v>
      </c>
      <c r="D60" s="448"/>
      <c r="E60" s="448"/>
      <c r="F60" s="449">
        <f>SUM(C60:E60)</f>
        <v>45082.199566837277</v>
      </c>
      <c r="G60" s="451">
        <f>'[1]Eau &amp; Energie'!Y20+[1]Noreuse_LCI!$L$27</f>
        <v>33275.591654561329</v>
      </c>
      <c r="H60" s="448"/>
      <c r="I60" s="425"/>
      <c r="J60" s="450">
        <f>SUM(G60:I60)</f>
        <v>33275.591654561329</v>
      </c>
      <c r="K60" s="451"/>
      <c r="L60" s="425"/>
      <c r="M60" s="425"/>
      <c r="N60" s="450">
        <f>SUM(K60:M60)</f>
        <v>0</v>
      </c>
      <c r="O60" s="425">
        <f>O59</f>
        <v>128000</v>
      </c>
      <c r="P60" s="445">
        <f>(SUM(C$48:C60)+SUM(G$48:G60)+SUM(K$48:K60))/SUM($O$48:$O60)</f>
        <v>0.59667198102639862</v>
      </c>
      <c r="Q60" s="446">
        <f>(SUM(D$48:D60)+SUM(H$48:H60)+SUM(L$48:L60))/SUM($O$48:$O60)</f>
        <v>0</v>
      </c>
      <c r="R60" s="446"/>
      <c r="S60" s="446">
        <f>SUM(P60:R60)</f>
        <v>0.59667198102639862</v>
      </c>
      <c r="T60" s="452"/>
      <c r="X60" s="452"/>
    </row>
    <row r="61" spans="1:24">
      <c r="A61" s="366">
        <v>2039</v>
      </c>
      <c r="B61" s="438">
        <v>14</v>
      </c>
      <c r="C61" s="451">
        <f>$E$29</f>
        <v>45082.199566837277</v>
      </c>
      <c r="D61" s="448"/>
      <c r="E61" s="448"/>
      <c r="F61" s="449">
        <f>SUM(C61:E61)</f>
        <v>45082.199566837277</v>
      </c>
      <c r="G61" s="451">
        <f>'[1]Eau &amp; Energie'!Y21+[1]Noreuse_LCI!$L$27</f>
        <v>33663.512954125537</v>
      </c>
      <c r="H61" s="448"/>
      <c r="I61" s="425"/>
      <c r="J61" s="450">
        <f>SUM(G61:I61)</f>
        <v>33663.512954125537</v>
      </c>
      <c r="K61" s="451"/>
      <c r="L61" s="425"/>
      <c r="M61" s="425"/>
      <c r="N61" s="450">
        <f>SUM(K61:M61)</f>
        <v>0</v>
      </c>
      <c r="O61" s="425">
        <f>O60</f>
        <v>128000</v>
      </c>
      <c r="P61" s="445">
        <f>(SUM(C$48:C61)+SUM(G$48:G61)+SUM(K$48:K61))/SUM($O$48:$O61)</f>
        <v>0.59799547374380035</v>
      </c>
      <c r="Q61" s="446">
        <f>(SUM(D$48:D61)+SUM(H$48:H61)+SUM(L$48:L61))/SUM($O$48:$O61)</f>
        <v>0</v>
      </c>
      <c r="R61" s="446"/>
      <c r="S61" s="446">
        <f>SUM(P61:R61)</f>
        <v>0.59799547374380035</v>
      </c>
      <c r="T61" s="452"/>
      <c r="X61" s="452"/>
    </row>
    <row r="62" spans="1:24">
      <c r="A62" s="366">
        <v>2040</v>
      </c>
      <c r="B62" s="438">
        <v>15</v>
      </c>
      <c r="C62" s="451">
        <f>$E$29</f>
        <v>45082.199566837277</v>
      </c>
      <c r="D62" s="448"/>
      <c r="E62" s="448"/>
      <c r="F62" s="449">
        <f>SUM(C62:E62)</f>
        <v>45082.199566837277</v>
      </c>
      <c r="G62" s="451">
        <f>'[1]Eau &amp; Energie'!Y22+[1]Noreuse_LCI!$L$27</f>
        <v>34065.399420474059</v>
      </c>
      <c r="H62" s="448"/>
      <c r="I62" s="425"/>
      <c r="J62" s="450">
        <f>SUM(G62:I62)</f>
        <v>34065.399420474059</v>
      </c>
      <c r="K62" s="451"/>
      <c r="L62" s="425"/>
      <c r="M62" s="425"/>
      <c r="N62" s="450">
        <f>SUM(K62:M62)</f>
        <v>0</v>
      </c>
      <c r="O62" s="425">
        <f>O61</f>
        <v>128000</v>
      </c>
      <c r="P62" s="445">
        <f>(SUM(C$48:C62)+SUM(G$48:G62)+SUM(K$48:K62))/SUM($O$48:$O62)</f>
        <v>0.59935181663343828</v>
      </c>
      <c r="Q62" s="446">
        <f>(SUM(D$48:D62)+SUM(H$48:H62)+SUM(L$48:L62))/SUM($O$48:$O62)</f>
        <v>0</v>
      </c>
      <c r="R62" s="446"/>
      <c r="S62" s="446">
        <f>SUM(P62:R62)</f>
        <v>0.59935181663343828</v>
      </c>
      <c r="T62" s="452">
        <f>S62</f>
        <v>0.59935181663343828</v>
      </c>
      <c r="U62" s="366" t="str">
        <f>TEXT(T62,"0"&amp;MID(1/3,2,1)&amp;"00")&amp;" €/m"&amp;CHAR(179)</f>
        <v>0.60 €/m³</v>
      </c>
      <c r="X62" s="452"/>
    </row>
    <row r="63" spans="1:24">
      <c r="A63" s="366">
        <v>2041</v>
      </c>
      <c r="B63" s="438">
        <v>16</v>
      </c>
      <c r="C63" s="451">
        <f>$E$29</f>
        <v>45082.199566837277</v>
      </c>
      <c r="D63" s="448"/>
      <c r="E63" s="448"/>
      <c r="F63" s="449">
        <f>SUM(C63:E63)</f>
        <v>45082.199566837277</v>
      </c>
      <c r="G63" s="451">
        <f>'[1]Eau &amp; Energie'!Y23+[1]Noreuse_LCI!$L$27</f>
        <v>34481.75379961112</v>
      </c>
      <c r="H63" s="448"/>
      <c r="I63" s="425"/>
      <c r="J63" s="450">
        <f>SUM(G63:I63)</f>
        <v>34481.75379961112</v>
      </c>
      <c r="K63" s="451"/>
      <c r="L63" s="425"/>
      <c r="M63" s="425"/>
      <c r="N63" s="450">
        <f>SUM(K63:M63)</f>
        <v>0</v>
      </c>
      <c r="O63" s="425">
        <f>O62</f>
        <v>128000</v>
      </c>
      <c r="P63" s="445">
        <f>(SUM(C$48:C63)+SUM(G$48:G63)+SUM(K$48:K63))/SUM($O$48:$O63)</f>
        <v>0.60074191469855953</v>
      </c>
      <c r="Q63" s="446">
        <f>(SUM(D$48:D63)+SUM(H$48:H63)+SUM(L$48:L63))/SUM($O$48:$O63)</f>
        <v>0</v>
      </c>
      <c r="R63" s="446"/>
      <c r="S63" s="446">
        <f>SUM(P63:R63)</f>
        <v>0.60074191469855953</v>
      </c>
      <c r="T63" s="452"/>
      <c r="X63" s="452"/>
    </row>
    <row r="64" spans="1:24">
      <c r="A64" s="366">
        <v>2042</v>
      </c>
      <c r="B64" s="438">
        <v>17</v>
      </c>
      <c r="C64" s="451">
        <f>$E$29</f>
        <v>45082.199566837277</v>
      </c>
      <c r="D64" s="448"/>
      <c r="E64" s="448"/>
      <c r="F64" s="449">
        <f>SUM(C64:E64)</f>
        <v>45082.199566837277</v>
      </c>
      <c r="G64" s="451">
        <f>'[1]Eau &amp; Energie'!Y24+[1]Noreuse_LCI!$L$27</f>
        <v>34913.096936397123</v>
      </c>
      <c r="H64" s="448"/>
      <c r="I64" s="425"/>
      <c r="J64" s="450">
        <f>SUM(G64:I64)</f>
        <v>34913.096936397123</v>
      </c>
      <c r="K64" s="451"/>
      <c r="L64" s="425"/>
      <c r="M64" s="425"/>
      <c r="N64" s="450">
        <f>SUM(K64:M64)</f>
        <v>0</v>
      </c>
      <c r="O64" s="425">
        <f>O63</f>
        <v>128000</v>
      </c>
      <c r="P64" s="445">
        <f>(SUM(C$48:C64)+SUM(G$48:G64)+SUM(K$48:K64))/SUM($O$48:$O64)</f>
        <v>0.60216669935932188</v>
      </c>
      <c r="Q64" s="446">
        <f>(SUM(D$48:D64)+SUM(H$48:H64)+SUM(L$48:L64))/SUM($O$48:$O64)</f>
        <v>0</v>
      </c>
      <c r="R64" s="446"/>
      <c r="S64" s="446">
        <f>SUM(P64:R64)</f>
        <v>0.60216669935932188</v>
      </c>
      <c r="T64" s="452"/>
      <c r="X64" s="452"/>
    </row>
    <row r="65" spans="1:28">
      <c r="A65" s="366">
        <v>2043</v>
      </c>
      <c r="B65" s="438">
        <v>18</v>
      </c>
      <c r="C65" s="451">
        <f>$E$29</f>
        <v>45082.199566837277</v>
      </c>
      <c r="D65" s="448"/>
      <c r="E65" s="448"/>
      <c r="F65" s="449">
        <f>SUM(C65:E65)</f>
        <v>45082.199566837277</v>
      </c>
      <c r="G65" s="451">
        <f>'[1]Eau &amp; Energie'!Y25+[1]Noreuse_LCI!$L$27</f>
        <v>35359.968426107422</v>
      </c>
      <c r="H65" s="448"/>
      <c r="I65" s="425"/>
      <c r="J65" s="450">
        <f>SUM(G65:I65)</f>
        <v>35359.968426107422</v>
      </c>
      <c r="K65" s="451"/>
      <c r="L65" s="425"/>
      <c r="M65" s="425"/>
      <c r="N65" s="450">
        <f>SUM(K65:M65)</f>
        <v>0</v>
      </c>
      <c r="O65" s="425">
        <f>O64</f>
        <v>128000</v>
      </c>
      <c r="P65" s="445">
        <f>(SUM(C$48:C65)+SUM(G$48:G65)+SUM(K$48:K65))/SUM($O$48:$O65)</f>
        <v>0.60362712925296391</v>
      </c>
      <c r="Q65" s="446">
        <f>(SUM(D$48:D65)+SUM(H$48:H65)+SUM(L$48:L65))/SUM($O$48:$O65)</f>
        <v>0</v>
      </c>
      <c r="R65" s="446"/>
      <c r="S65" s="446">
        <f>SUM(P65:R65)</f>
        <v>0.60362712925296391</v>
      </c>
      <c r="T65" s="452"/>
      <c r="X65" s="452"/>
    </row>
    <row r="66" spans="1:28">
      <c r="A66" s="366">
        <v>2044</v>
      </c>
      <c r="B66" s="438">
        <v>19</v>
      </c>
      <c r="C66" s="451">
        <f>$E$29</f>
        <v>45082.199566837277</v>
      </c>
      <c r="D66" s="448"/>
      <c r="E66" s="448"/>
      <c r="F66" s="449">
        <f>SUM(C66:E66)</f>
        <v>45082.199566837277</v>
      </c>
      <c r="G66" s="451">
        <f>'[1]Eau &amp; Energie'!Y26+[1]Noreuse_LCI!$L$27</f>
        <v>35822.927289447289</v>
      </c>
      <c r="H66" s="448"/>
      <c r="I66" s="425"/>
      <c r="J66" s="450">
        <f>SUM(G66:I66)</f>
        <v>35822.927289447289</v>
      </c>
      <c r="K66" s="451"/>
      <c r="L66" s="425"/>
      <c r="M66" s="425"/>
      <c r="N66" s="450">
        <f>SUM(K66:M66)</f>
        <v>0</v>
      </c>
      <c r="O66" s="425">
        <f>O65</f>
        <v>128000</v>
      </c>
      <c r="P66" s="445">
        <f>(SUM(C$48:C66)+SUM(G$48:G66)+SUM(K$48:K66))/SUM($O$48:$O66)</f>
        <v>0.60512419105884596</v>
      </c>
      <c r="Q66" s="446">
        <f>(SUM(D$48:D66)+SUM(H$48:H66)+SUM(L$48:L66))/SUM($O$48:$O66)</f>
        <v>0</v>
      </c>
      <c r="R66" s="446"/>
      <c r="S66" s="446">
        <f>SUM(P66:R66)</f>
        <v>0.60512419105884596</v>
      </c>
      <c r="T66" s="452"/>
      <c r="X66" s="452"/>
    </row>
    <row r="67" spans="1:28">
      <c r="A67" s="366">
        <v>2045</v>
      </c>
      <c r="B67" s="438">
        <v>20</v>
      </c>
      <c r="C67" s="451">
        <f>$E$29</f>
        <v>45082.199566837277</v>
      </c>
      <c r="D67" s="448"/>
      <c r="E67" s="448"/>
      <c r="F67" s="449">
        <f>SUM(C67:E67)</f>
        <v>45082.199566837277</v>
      </c>
      <c r="G67" s="451">
        <f>'[1]Eau &amp; Energie'!Y27+[1]Noreuse_LCI!$L$27</f>
        <v>36302.552671867386</v>
      </c>
      <c r="H67" s="448"/>
      <c r="I67" s="425"/>
      <c r="J67" s="450">
        <f>SUM(G67:I67)</f>
        <v>36302.552671867386</v>
      </c>
      <c r="K67" s="451"/>
      <c r="L67" s="425"/>
      <c r="M67" s="425"/>
      <c r="N67" s="450">
        <f>SUM(K67:M67)</f>
        <v>0</v>
      </c>
      <c r="O67" s="425">
        <f>O66</f>
        <v>128000</v>
      </c>
      <c r="P67" s="445">
        <f>(SUM(C$48:C67)+SUM(G$48:G67)+SUM(K$48:K67))/SUM($O$48:$O67)</f>
        <v>0.60665890034914771</v>
      </c>
      <c r="Q67" s="446">
        <f>(SUM(D$48:D67)+SUM(H$48:H67)+SUM(L$48:L67))/SUM($O$48:$O67)</f>
        <v>0</v>
      </c>
      <c r="R67" s="446"/>
      <c r="S67" s="446">
        <f>SUM(P67:R67)</f>
        <v>0.60665890034914771</v>
      </c>
      <c r="T67" s="452">
        <f>S67</f>
        <v>0.60665890034914771</v>
      </c>
      <c r="U67" s="366" t="str">
        <f>TEXT(T67,"0"&amp;MID(1/3,2,1)&amp;"00")&amp;" €/m"&amp;CHAR(179)</f>
        <v>0.61 €/m³</v>
      </c>
      <c r="X67" s="452"/>
    </row>
    <row r="68" spans="1:28">
      <c r="A68" s="366">
        <v>2046</v>
      </c>
      <c r="B68" s="438">
        <v>21</v>
      </c>
      <c r="C68" s="451"/>
      <c r="D68" s="448"/>
      <c r="E68" s="448"/>
      <c r="F68" s="449">
        <f ca="1">SUM(C68:F68)</f>
        <v>0</v>
      </c>
      <c r="G68" s="451">
        <f>'[1]Eau &amp; Energie'!Y28+[1]Noreuse_LCI!$L$27</f>
        <v>36799.44456805462</v>
      </c>
      <c r="H68" s="448"/>
      <c r="I68" s="425"/>
      <c r="J68" s="450">
        <f>SUM(G68:I68)</f>
        <v>36799.44456805462</v>
      </c>
      <c r="K68" s="451"/>
      <c r="L68" s="425"/>
      <c r="M68" s="425"/>
      <c r="N68" s="450">
        <f>SUM(K68:M68)</f>
        <v>0</v>
      </c>
      <c r="O68" s="425">
        <f>O67</f>
        <v>128000</v>
      </c>
      <c r="P68" s="445">
        <f>(SUM(C$48:C68)+SUM(G$48:G68)+SUM(K$48:K68))/SUM($O$48:$O68)</f>
        <v>0.59146065084147059</v>
      </c>
      <c r="Q68" s="446">
        <f>(SUM(D$48:D68)+SUM(H$48:H68)+SUM(L$48:L68))/SUM($O$48:$O68)</f>
        <v>0</v>
      </c>
      <c r="R68" s="446"/>
      <c r="S68" s="446">
        <f>SUM(P68:R68)</f>
        <v>0.59146065084147059</v>
      </c>
      <c r="T68" s="446"/>
      <c r="X68" s="452"/>
    </row>
    <row r="69" spans="1:28">
      <c r="A69" s="366">
        <v>2047</v>
      </c>
      <c r="B69" s="438">
        <v>22</v>
      </c>
      <c r="C69" s="451"/>
      <c r="D69" s="448"/>
      <c r="E69" s="448"/>
      <c r="F69" s="449">
        <f ca="1">SUM(C69:F69)</f>
        <v>0</v>
      </c>
      <c r="G69" s="451">
        <f>'[1]Eau &amp; Energie'!Y29+[1]Noreuse_LCI!$L$27</f>
        <v>37314.22457250458</v>
      </c>
      <c r="H69" s="448"/>
      <c r="I69" s="425"/>
      <c r="J69" s="450">
        <f>SUM(G69:I69)</f>
        <v>37314.22457250458</v>
      </c>
      <c r="K69" s="451"/>
      <c r="L69" s="425"/>
      <c r="M69" s="425"/>
      <c r="N69" s="450">
        <f>SUM(K69:M69)</f>
        <v>0</v>
      </c>
      <c r="O69" s="425">
        <f>O68</f>
        <v>128000</v>
      </c>
      <c r="P69" s="445">
        <f>(SUM(C$48:C69)+SUM(G$48:G69)+SUM(K$48:K69))/SUM($O$48:$O69)</f>
        <v>0.57782686577925335</v>
      </c>
      <c r="Q69" s="446">
        <f>(SUM(D$48:D69)+SUM(H$48:H69)+SUM(L$48:L69))/SUM($O$48:$O69)</f>
        <v>0</v>
      </c>
      <c r="R69" s="446"/>
      <c r="S69" s="446">
        <f>SUM(P69:R69)</f>
        <v>0.57782686577925335</v>
      </c>
      <c r="T69" s="452"/>
      <c r="X69" s="452"/>
    </row>
    <row r="70" spans="1:28">
      <c r="A70" s="366">
        <v>2048</v>
      </c>
      <c r="B70" s="438">
        <v>23</v>
      </c>
      <c r="C70" s="451"/>
      <c r="D70" s="448"/>
      <c r="E70" s="448"/>
      <c r="F70" s="449">
        <f ca="1">SUM(C70:F70)</f>
        <v>0</v>
      </c>
      <c r="G70" s="451">
        <f>'[1]Eau &amp; Energie'!Y30+[1]Noreuse_LCI!$L$27</f>
        <v>37847.536657114746</v>
      </c>
      <c r="H70" s="448"/>
      <c r="I70" s="425"/>
      <c r="J70" s="450">
        <f>SUM(G70:I70)</f>
        <v>37847.536657114746</v>
      </c>
      <c r="K70" s="451"/>
      <c r="L70" s="425"/>
      <c r="M70" s="425"/>
      <c r="N70" s="450">
        <f>SUM(K70:M70)</f>
        <v>0</v>
      </c>
      <c r="O70" s="425">
        <f>O69</f>
        <v>128000</v>
      </c>
      <c r="P70" s="445">
        <f>(SUM(C$48:C70)+SUM(G$48:G70)+SUM(K$48:K70))/SUM($O$48:$O70)</f>
        <v>0.56555977944683844</v>
      </c>
      <c r="Q70" s="446">
        <f>(SUM(D$48:D70)+SUM(H$48:H70)+SUM(L$48:L70))/SUM($O$48:$O70)</f>
        <v>0</v>
      </c>
      <c r="R70" s="446"/>
      <c r="S70" s="446">
        <f>SUM(P70:R70)</f>
        <v>0.56555977944683844</v>
      </c>
      <c r="T70" s="452"/>
      <c r="X70" s="452"/>
    </row>
    <row r="71" spans="1:28">
      <c r="A71" s="366">
        <v>2049</v>
      </c>
      <c r="B71" s="438">
        <v>24</v>
      </c>
      <c r="C71" s="451"/>
      <c r="D71" s="448"/>
      <c r="E71" s="448"/>
      <c r="F71" s="449">
        <f ca="1">SUM(C71:F71)</f>
        <v>0</v>
      </c>
      <c r="G71" s="451">
        <f>'[1]Eau &amp; Energie'!Y31+[1]Noreuse_LCI!$L$27</f>
        <v>38400.047976770875</v>
      </c>
      <c r="H71" s="448"/>
      <c r="I71" s="425"/>
      <c r="J71" s="450">
        <f>SUM(G71:I71)</f>
        <v>38400.047976770875</v>
      </c>
      <c r="K71" s="451"/>
      <c r="L71" s="425"/>
      <c r="M71" s="425"/>
      <c r="N71" s="450">
        <f>SUM(K71:M71)</f>
        <v>0</v>
      </c>
      <c r="O71" s="425">
        <f>O70</f>
        <v>128000</v>
      </c>
      <c r="P71" s="445">
        <f>(SUM(C$48:C71)+SUM(G$48:G71)+SUM(K$48:K71))/SUM($O$48:$O71)</f>
        <v>0.55449480425399189</v>
      </c>
      <c r="Q71" s="446">
        <f>(SUM(D$48:D71)+SUM(H$48:H71)+SUM(L$48:L71))/SUM($O$48:$O71)</f>
        <v>0</v>
      </c>
      <c r="R71" s="446"/>
      <c r="S71" s="446">
        <f>SUM(P71:R71)</f>
        <v>0.55449480425399189</v>
      </c>
      <c r="T71" s="452"/>
      <c r="X71" s="452"/>
    </row>
    <row r="72" spans="1:28">
      <c r="A72" s="366">
        <v>2050</v>
      </c>
      <c r="B72" s="438">
        <v>25</v>
      </c>
      <c r="C72" s="451"/>
      <c r="D72" s="448"/>
      <c r="E72" s="448"/>
      <c r="F72" s="449">
        <f ca="1">SUM(C72:F72)</f>
        <v>0</v>
      </c>
      <c r="G72" s="451">
        <f>'[1]Eau &amp; Energie'!Y32+[1]Noreuse_LCI!$L$27</f>
        <v>38972.449703934632</v>
      </c>
      <c r="H72" s="448"/>
      <c r="I72" s="425"/>
      <c r="J72" s="450">
        <f>SUM(G72:I72)</f>
        <v>38972.449703934632</v>
      </c>
      <c r="K72" s="451"/>
      <c r="L72" s="425"/>
      <c r="M72" s="425"/>
      <c r="N72" s="450">
        <f>SUM(K72:M72)</f>
        <v>0</v>
      </c>
      <c r="O72" s="425">
        <f>O71</f>
        <v>128000</v>
      </c>
      <c r="P72" s="445">
        <f>(SUM(C$48:C72)+SUM(G$48:G72)+SUM(K$48:K72))/SUM($O$48:$O72)</f>
        <v>0.54449390261631181</v>
      </c>
      <c r="Q72" s="446">
        <f>(SUM(D$48:D72)+SUM(H$48:H72)+SUM(L$48:L72))/SUM($O$48:$O72)</f>
        <v>0</v>
      </c>
      <c r="R72" s="446"/>
      <c r="S72" s="446">
        <f>SUM(P72:R72)</f>
        <v>0.54449390261631181</v>
      </c>
      <c r="T72" s="452">
        <f>S72</f>
        <v>0.54449390261631181</v>
      </c>
      <c r="U72" s="366" t="str">
        <f>TEXT(T72,"0"&amp;MID(1/3,2,1)&amp;"00")&amp;" €/m"&amp;CHAR(179)</f>
        <v>0.54 €/m³</v>
      </c>
      <c r="X72" s="452"/>
    </row>
    <row r="73" spans="1:28">
      <c r="A73" s="366">
        <v>2051</v>
      </c>
      <c r="B73" s="438">
        <v>26</v>
      </c>
      <c r="C73" s="451"/>
      <c r="D73" s="448"/>
      <c r="E73" s="448"/>
      <c r="F73" s="449">
        <f ca="1">SUM(C73:F73)</f>
        <v>0</v>
      </c>
      <c r="G73" s="451">
        <f>'[1]Eau &amp; Energie'!Y33+[1]Noreuse_LCI!$L$27</f>
        <v>39565.457893276274</v>
      </c>
      <c r="H73" s="448"/>
      <c r="I73" s="425"/>
      <c r="J73" s="450">
        <f>SUM(G73:I73)</f>
        <v>39565.457893276274</v>
      </c>
      <c r="K73" s="451"/>
      <c r="L73" s="425"/>
      <c r="M73" s="425"/>
      <c r="N73" s="450">
        <f>SUM(K73:M73)</f>
        <v>0</v>
      </c>
      <c r="O73" s="425">
        <f>O72</f>
        <v>128000</v>
      </c>
      <c r="P73" s="445">
        <f>(SUM(C$48:C73)+SUM(G$48:G73)+SUM(K$48:K73))/SUM($O$48:$O73)</f>
        <v>0.53544048866150062</v>
      </c>
      <c r="Q73" s="446">
        <f>(SUM(D$48:D73)+SUM(H$48:H73)+SUM(L$48:L73))/SUM($O$48:$O73)</f>
        <v>0</v>
      </c>
      <c r="R73" s="446"/>
      <c r="S73" s="446">
        <f>SUM(P73:R73)</f>
        <v>0.53544048866150062</v>
      </c>
      <c r="T73" s="452"/>
      <c r="X73" s="452"/>
    </row>
    <row r="74" spans="1:28">
      <c r="A74" s="366">
        <v>2052</v>
      </c>
      <c r="B74" s="438">
        <v>27</v>
      </c>
      <c r="C74" s="451"/>
      <c r="D74" s="448"/>
      <c r="E74" s="448"/>
      <c r="F74" s="449">
        <f ca="1">SUM(C74:F74)</f>
        <v>0</v>
      </c>
      <c r="G74" s="451">
        <f>'[1]Eau &amp; Energie'!Y34+[1]Noreuse_LCI!$L$27</f>
        <v>40179.814377434217</v>
      </c>
      <c r="H74" s="448"/>
      <c r="I74" s="425"/>
      <c r="J74" s="450">
        <f>SUM(G74:I74)</f>
        <v>40179.814377434217</v>
      </c>
      <c r="K74" s="451"/>
      <c r="L74" s="425"/>
      <c r="M74" s="425"/>
      <c r="N74" s="450">
        <f>SUM(K74:M74)</f>
        <v>0</v>
      </c>
      <c r="O74" s="425">
        <f>O73</f>
        <v>128000</v>
      </c>
      <c r="P74" s="445">
        <f>(SUM(C$48:C74)+SUM(G$48:G74)+SUM(K$48:K74))/SUM($O$48:$O74)</f>
        <v>0.52723546314898961</v>
      </c>
      <c r="Q74" s="446">
        <f>(SUM(D$48:D74)+SUM(H$48:H74)+SUM(L$48:L74))/SUM($O$48:$O74)</f>
        <v>0</v>
      </c>
      <c r="R74" s="446"/>
      <c r="S74" s="446">
        <f>SUM(P74:R74)</f>
        <v>0.52723546314898961</v>
      </c>
      <c r="T74" s="452"/>
      <c r="X74" s="452"/>
    </row>
    <row r="75" spans="1:28">
      <c r="A75" s="366">
        <v>2053</v>
      </c>
      <c r="B75" s="438">
        <v>28</v>
      </c>
      <c r="C75" s="451"/>
      <c r="D75" s="448"/>
      <c r="E75" s="448"/>
      <c r="F75" s="449">
        <f ca="1">SUM(C75:F75)</f>
        <v>0</v>
      </c>
      <c r="G75" s="451">
        <f>'[1]Eau &amp; Energie'!Y35+[1]Noreuse_LCI!$L$27</f>
        <v>40816.287695021856</v>
      </c>
      <c r="H75" s="448"/>
      <c r="I75" s="425"/>
      <c r="J75" s="450">
        <f>SUM(G75:I75)</f>
        <v>40816.287695021856</v>
      </c>
      <c r="K75" s="451"/>
      <c r="L75" s="425"/>
      <c r="M75" s="425"/>
      <c r="N75" s="450">
        <f>SUM(K75:M75)</f>
        <v>0</v>
      </c>
      <c r="O75" s="425">
        <f>O74</f>
        <v>128000</v>
      </c>
      <c r="P75" s="445">
        <f>(SUM(C$48:C75)+SUM(G$48:G75)+SUM(K$48:K75))/SUM($O$48:$O75)</f>
        <v>0.51979409830857415</v>
      </c>
      <c r="Q75" s="446">
        <f>(SUM(D$48:D75)+SUM(H$48:H75)+SUM(L$48:L75))/SUM($O$48:$O75)</f>
        <v>0</v>
      </c>
      <c r="R75" s="446"/>
      <c r="S75" s="446">
        <f>SUM(P75:R75)</f>
        <v>0.51979409830857415</v>
      </c>
      <c r="T75" s="452"/>
    </row>
    <row r="76" spans="1:28">
      <c r="A76" s="366">
        <v>2054</v>
      </c>
      <c r="B76" s="438">
        <v>29</v>
      </c>
      <c r="C76" s="451"/>
      <c r="D76" s="448"/>
      <c r="E76" s="448"/>
      <c r="F76" s="449">
        <f ca="1">SUM(C76:F76)</f>
        <v>0</v>
      </c>
      <c r="G76" s="451">
        <f>'[1]Eau &amp; Energie'!Y36+[1]Noreuse_LCI!$L$27</f>
        <v>41475.674052042639</v>
      </c>
      <c r="H76" s="448"/>
      <c r="I76" s="425"/>
      <c r="J76" s="450">
        <f>SUM(G76:I76)</f>
        <v>41475.674052042639</v>
      </c>
      <c r="K76" s="451"/>
      <c r="L76" s="425"/>
      <c r="M76" s="425"/>
      <c r="N76" s="450">
        <f>SUM(K76:M76)</f>
        <v>0</v>
      </c>
      <c r="O76" s="425">
        <f>O75</f>
        <v>128000</v>
      </c>
      <c r="P76" s="445">
        <f>(SUM(C$48:C76)+SUM(G$48:G76)+SUM(K$48:K76))/SUM($O$48:$O76)</f>
        <v>0.51304356745419522</v>
      </c>
      <c r="Q76" s="446">
        <f>(SUM(D$48:D76)+SUM(H$48:H76)+SUM(L$48:L76))/SUM($O$48:$O76)</f>
        <v>0</v>
      </c>
      <c r="R76" s="446"/>
      <c r="S76" s="446">
        <f>SUM(P76:R76)</f>
        <v>0.51304356745419522</v>
      </c>
      <c r="T76" s="452"/>
    </row>
    <row r="77" spans="1:28">
      <c r="A77" s="453">
        <v>2055</v>
      </c>
      <c r="B77" s="454">
        <v>30</v>
      </c>
      <c r="C77" s="459"/>
      <c r="D77" s="456"/>
      <c r="E77" s="456"/>
      <c r="F77" s="457">
        <f ca="1">SUM(C77:F77)</f>
        <v>0</v>
      </c>
      <c r="G77" s="459">
        <f>'[1]Eau &amp; Energie'!Y37+[1]Noreuse_LCI!$L$27</f>
        <v>42158.798317916182</v>
      </c>
      <c r="H77" s="456"/>
      <c r="I77" s="460"/>
      <c r="J77" s="458">
        <f>SUM(G77:I77)</f>
        <v>42158.798317916182</v>
      </c>
      <c r="K77" s="459"/>
      <c r="L77" s="460"/>
      <c r="M77" s="460"/>
      <c r="N77" s="458">
        <f>SUM(K77:M77)</f>
        <v>0</v>
      </c>
      <c r="O77" s="460">
        <f>O76</f>
        <v>128000</v>
      </c>
      <c r="P77" s="461">
        <f>(SUM(C$48:C77)+SUM(G$48:G77)+SUM(K$48:K77))/SUM($O$48:$O77)</f>
        <v>0.50692096893434613</v>
      </c>
      <c r="Q77" s="462">
        <f>(SUM(D$48:D77)+SUM(H$48:H77)+SUM(L$48:L77))/SUM($O$48:$O77)</f>
        <v>0</v>
      </c>
      <c r="R77" s="462"/>
      <c r="S77" s="462">
        <f>SUM(P77:R77)</f>
        <v>0.50692096893434613</v>
      </c>
      <c r="T77" s="463">
        <f>S77</f>
        <v>0.50692096893434613</v>
      </c>
      <c r="U77" s="453" t="str">
        <f>TEXT(T77,"0"&amp;MID(1/3,2,1)&amp;"00")&amp;" €/m"&amp;CHAR(179)</f>
        <v>0.51 €/m³</v>
      </c>
    </row>
    <row r="78" spans="1:28">
      <c r="AA78" s="465"/>
      <c r="AB78" s="465"/>
    </row>
    <row r="79" spans="1:28" ht="15">
      <c r="Y79" s="466"/>
      <c r="Z79" s="466"/>
    </row>
    <row r="84" spans="8:8">
      <c r="H84" s="366" t="s">
        <v>755</v>
      </c>
    </row>
  </sheetData>
  <mergeCells count="2">
    <mergeCell ref="B44:B46"/>
    <mergeCell ref="A3:A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0A4D2-1062-4871-9DA6-1A315484E21D}">
  <sheetPr>
    <tabColor rgb="FF800074"/>
  </sheetPr>
  <dimension ref="A1:O25"/>
  <sheetViews>
    <sheetView zoomScale="54" zoomScaleNormal="90" workbookViewId="0">
      <selection activeCell="I31" sqref="I31"/>
    </sheetView>
  </sheetViews>
  <sheetFormatPr defaultRowHeight="14.45"/>
  <cols>
    <col min="1" max="2" width="14" style="293" customWidth="1"/>
    <col min="4" max="4" width="14.28515625" customWidth="1"/>
    <col min="5" max="8" width="12.140625" customWidth="1"/>
    <col min="9" max="12" width="19.42578125" customWidth="1"/>
  </cols>
  <sheetData>
    <row r="1" spans="1:15" ht="16.5" thickBot="1">
      <c r="A1" s="289" t="str">
        <f>'S14_Upscaled LCA'!H1</f>
        <v xml:space="preserve">Impact Category </v>
      </c>
      <c r="B1" s="289" t="str">
        <f>'S14_Upscaled LCA'!I1</f>
        <v xml:space="preserve">Scenario </v>
      </c>
      <c r="C1" s="275" t="str">
        <f>'S14_Upscaled LCA'!N1</f>
        <v xml:space="preserve">Total </v>
      </c>
      <c r="D1" s="312" t="s">
        <v>756</v>
      </c>
      <c r="E1" s="312" t="s">
        <v>757</v>
      </c>
      <c r="F1" s="312" t="s">
        <v>758</v>
      </c>
      <c r="G1" s="311"/>
      <c r="H1" s="311"/>
    </row>
    <row r="2" spans="1:15" ht="16.149999999999999" customHeight="1" thickBot="1">
      <c r="A2" s="290" t="str">
        <f>'S14_Upscaled LCA'!H2</f>
        <v xml:space="preserve">Acidification </v>
      </c>
      <c r="B2" s="291" t="str">
        <f>'S14_Upscaled LCA'!I2</f>
        <v xml:space="preserve">BAU (No Reuse) </v>
      </c>
      <c r="C2" s="13">
        <f>'S14_Upscaled LCA'!N2</f>
        <v>1.0982000000000001E-3</v>
      </c>
      <c r="D2" s="316">
        <f>(J$14*($N$14/$M$14))*$C$2</f>
        <v>2.4258822580019402E-4</v>
      </c>
      <c r="E2" s="316">
        <f>(K$14*($N$14/$M$14))*$C$2</f>
        <v>4.7414971406401553E-4</v>
      </c>
      <c r="F2" s="316">
        <f>(L$14*($N$14/$M$14))*$C$2</f>
        <v>2.2287793245392823E-3</v>
      </c>
      <c r="I2" s="303" t="s">
        <v>759</v>
      </c>
      <c r="J2" s="307" t="s">
        <v>760</v>
      </c>
      <c r="K2" s="308" t="s">
        <v>761</v>
      </c>
      <c r="L2" s="309" t="s">
        <v>762</v>
      </c>
      <c r="M2" s="310" t="s">
        <v>763</v>
      </c>
      <c r="N2" s="309" t="s">
        <v>764</v>
      </c>
      <c r="O2" s="301"/>
    </row>
    <row r="3" spans="1:15" ht="16.149999999999999" customHeight="1">
      <c r="A3" s="292" t="str">
        <f>'S14_Upscaled LCA'!H3</f>
        <v xml:space="preserve">Acidification </v>
      </c>
      <c r="B3" s="292" t="str">
        <f>'S14_Upscaled LCA'!I3</f>
        <v>WR_1 (Reuse)</v>
      </c>
      <c r="C3" s="13">
        <f>'S14_Upscaled LCA'!N3</f>
        <v>7.5929999999999997E-4</v>
      </c>
      <c r="D3" s="316">
        <f>(J$14*($N$14/$M$14))*$C$3</f>
        <v>1.6772649776915615E-4</v>
      </c>
      <c r="E3" s="316">
        <f t="shared" ref="E3:F3" si="0">(K$14*($N$14/$M$14))*$C$3</f>
        <v>3.2782906382153244E-4</v>
      </c>
      <c r="F3" s="316">
        <f t="shared" si="0"/>
        <v>1.5409871982541221E-3</v>
      </c>
      <c r="I3" s="304" t="s">
        <v>587</v>
      </c>
      <c r="J3" s="304">
        <v>6.1499999999999999E-2</v>
      </c>
      <c r="K3" s="294">
        <v>0.10249999999999999</v>
      </c>
      <c r="L3" s="295">
        <v>0.19359999999999999</v>
      </c>
      <c r="M3" s="304">
        <v>103.1</v>
      </c>
      <c r="N3" s="261">
        <v>129.4</v>
      </c>
      <c r="O3" s="302"/>
    </row>
    <row r="4" spans="1:15" ht="16.149999999999999" customHeight="1">
      <c r="A4" s="292" t="str">
        <f>'S14_Upscaled LCA'!H4</f>
        <v xml:space="preserve">Acidification </v>
      </c>
      <c r="B4" s="292" t="str">
        <f>'S14_Upscaled LCA'!I4</f>
        <v>WR_2 (Reuse)</v>
      </c>
      <c r="C4" s="13">
        <f>'S14_Upscaled LCA'!N4</f>
        <v>7.5331614699999992E-4</v>
      </c>
      <c r="D4" s="316">
        <f>(J$14*($N$14/$M$14))*$C$4</f>
        <v>1.6640468727678758E-4</v>
      </c>
      <c r="E4" s="316">
        <f t="shared" ref="E4" si="1">(K$14*($N$14/$M$14))*$C$4</f>
        <v>3.2524552513190296E-4</v>
      </c>
      <c r="F4" s="316">
        <f>(L$14*($N$14/$M$14))*$C$4</f>
        <v>1.5288430643554858E-3</v>
      </c>
      <c r="I4" s="305" t="s">
        <v>588</v>
      </c>
      <c r="J4" s="305">
        <v>2.3899999999999998E-24</v>
      </c>
      <c r="K4" s="300">
        <v>3.82E-5</v>
      </c>
      <c r="L4" s="296">
        <v>1.8799999999999999E-4</v>
      </c>
      <c r="M4" s="305">
        <v>103.1</v>
      </c>
      <c r="N4" s="261">
        <v>129.4</v>
      </c>
      <c r="O4" s="302"/>
    </row>
    <row r="5" spans="1:15" ht="16.149999999999999" customHeight="1">
      <c r="A5" s="292" t="str">
        <f>'S14_Upscaled LCA'!H5</f>
        <v xml:space="preserve">Climate Change </v>
      </c>
      <c r="B5" s="291" t="str">
        <f>'S14_Upscaled LCA'!I5</f>
        <v xml:space="preserve">BAU (No Reuse) </v>
      </c>
      <c r="C5" s="13">
        <f>'S14_Upscaled LCA'!N5</f>
        <v>0.12657399999999999</v>
      </c>
      <c r="D5" s="316">
        <f>(J$3*($N$3/$M$3))*$C$5</f>
        <v>9.7700150281280311E-3</v>
      </c>
      <c r="E5" s="316">
        <f t="shared" ref="E5:F5" si="2">(K$3*($N$3/$M$3))*$C$5</f>
        <v>1.6283358380213383E-2</v>
      </c>
      <c r="F5" s="316">
        <f t="shared" si="2"/>
        <v>3.0755689584481088E-2</v>
      </c>
      <c r="I5" s="305" t="s">
        <v>590</v>
      </c>
      <c r="J5" s="305">
        <v>3.21</v>
      </c>
      <c r="K5" s="300">
        <v>3.21</v>
      </c>
      <c r="L5" s="296">
        <v>3.21</v>
      </c>
      <c r="M5" s="305">
        <v>103.1</v>
      </c>
      <c r="N5" s="261">
        <v>129.4</v>
      </c>
      <c r="O5" s="302"/>
    </row>
    <row r="6" spans="1:15" ht="16.149999999999999" customHeight="1">
      <c r="A6" s="292" t="str">
        <f>'S14_Upscaled LCA'!H6</f>
        <v xml:space="preserve">Climate Change </v>
      </c>
      <c r="B6" s="292" t="str">
        <f>'S14_Upscaled LCA'!I6</f>
        <v>WR_1 (Reuse)</v>
      </c>
      <c r="C6" s="13">
        <f>'S14_Upscaled LCA'!N6</f>
        <v>9.580799999999999E-2</v>
      </c>
      <c r="D6" s="316">
        <f>(J$3*($N$3/$M$3))*$C$6</f>
        <v>7.3952438874878759E-3</v>
      </c>
      <c r="E6" s="316">
        <f t="shared" ref="E6:F6" si="3">(K$3*($N$3/$M$3))*$C$6</f>
        <v>1.2325406479146459E-2</v>
      </c>
      <c r="F6" s="316">
        <f t="shared" si="3"/>
        <v>2.3279987262075655E-2</v>
      </c>
      <c r="I6" s="305" t="s">
        <v>591</v>
      </c>
      <c r="J6" s="305">
        <v>0.26</v>
      </c>
      <c r="K6" s="300">
        <v>1.92</v>
      </c>
      <c r="L6" s="296">
        <v>2.1800000000000002</v>
      </c>
      <c r="M6" s="305">
        <v>103.1</v>
      </c>
      <c r="N6" s="261">
        <v>129.4</v>
      </c>
      <c r="O6" s="302"/>
    </row>
    <row r="7" spans="1:15" ht="16.149999999999999" customHeight="1">
      <c r="A7" s="292" t="str">
        <f>'S14_Upscaled LCA'!H7</f>
        <v xml:space="preserve">Climate Change </v>
      </c>
      <c r="B7" s="292" t="str">
        <f>'S14_Upscaled LCA'!I7</f>
        <v>WR_2 (Reuse)</v>
      </c>
      <c r="C7" s="13">
        <f>'S14_Upscaled LCA'!N7</f>
        <v>9.4034222399999992E-2</v>
      </c>
      <c r="D7" s="316">
        <f>(J$3*($N$3/$M$3))*$C$7</f>
        <v>7.2583292461827357E-3</v>
      </c>
      <c r="E7" s="316">
        <f t="shared" ref="E7:F7" si="4">(K$3*($N$3/$M$3))*$C$7</f>
        <v>1.2097215410304557E-2</v>
      </c>
      <c r="F7" s="316">
        <f t="shared" si="4"/>
        <v>2.2848984423755731E-2</v>
      </c>
      <c r="I7" s="305" t="s">
        <v>596</v>
      </c>
      <c r="J7" s="305">
        <v>8.7000000000000001E-5</v>
      </c>
      <c r="K7" s="300">
        <v>1.75E-4</v>
      </c>
      <c r="L7" s="296">
        <v>3.4900000000000003E-4</v>
      </c>
      <c r="M7" s="305">
        <v>103.1</v>
      </c>
      <c r="N7" s="261">
        <v>129.4</v>
      </c>
      <c r="O7" s="302"/>
    </row>
    <row r="8" spans="1:15" ht="16.149999999999999" customHeight="1">
      <c r="A8" s="292" t="str">
        <f>'S14_Upscaled LCA'!H8</f>
        <v>Ecotoxicity, fr</v>
      </c>
      <c r="B8" s="291" t="str">
        <f>'S14_Upscaled LCA'!I8</f>
        <v xml:space="preserve">BAU (No Reuse) </v>
      </c>
      <c r="C8" s="13">
        <f>'S14_Upscaled LCA'!N8</f>
        <v>17.909228999999996</v>
      </c>
      <c r="D8" s="316">
        <f>(J$4*($N$4/$M$4))*$C$8</f>
        <v>5.3721780949699314E-23</v>
      </c>
      <c r="E8" s="316">
        <f t="shared" ref="E8:F8" si="5">(K$4*($N$4/$M$4))*$C$8</f>
        <v>8.5864938589059147E-4</v>
      </c>
      <c r="F8" s="316">
        <f t="shared" si="5"/>
        <v>4.2258137316081466E-3</v>
      </c>
      <c r="I8" s="305" t="s">
        <v>597</v>
      </c>
      <c r="J8" s="305">
        <v>22.8</v>
      </c>
      <c r="K8" s="300">
        <v>31.4</v>
      </c>
      <c r="L8" s="296">
        <v>127.2</v>
      </c>
      <c r="M8" s="305">
        <v>103.1</v>
      </c>
      <c r="N8" s="261">
        <v>129.4</v>
      </c>
      <c r="O8" s="302"/>
    </row>
    <row r="9" spans="1:15" ht="16.149999999999999" customHeight="1">
      <c r="A9" s="292" t="str">
        <f>'S14_Upscaled LCA'!H9</f>
        <v>Ecotoxicity, fr</v>
      </c>
      <c r="B9" s="292" t="str">
        <f>'S14_Upscaled LCA'!I9</f>
        <v>WR_1 (Reuse)</v>
      </c>
      <c r="C9" s="13">
        <f>'S14_Upscaled LCA'!N9</f>
        <v>17.296163</v>
      </c>
      <c r="D9" s="316">
        <f>(J$4*($N$4/$M$4))*$C$9</f>
        <v>5.1882785124713872E-23</v>
      </c>
      <c r="E9" s="316">
        <f t="shared" ref="E9:F9" si="6">(K$4*($N$4/$M$4))*$C$9</f>
        <v>8.2925623086362759E-4</v>
      </c>
      <c r="F9" s="316">
        <f t="shared" si="6"/>
        <v>4.0811563194335602E-3</v>
      </c>
      <c r="I9" s="305" t="s">
        <v>595</v>
      </c>
      <c r="J9" s="305">
        <v>8.0000000000000004E-4</v>
      </c>
      <c r="K9" s="300">
        <v>1.1999999999999999E-3</v>
      </c>
      <c r="L9" s="296">
        <v>4.5999999999999999E-2</v>
      </c>
      <c r="M9" s="305">
        <v>103.1</v>
      </c>
      <c r="N9" s="261">
        <v>129.4</v>
      </c>
    </row>
    <row r="10" spans="1:15" ht="16.149999999999999" customHeight="1">
      <c r="A10" s="292" t="str">
        <f>'S14_Upscaled LCA'!H10</f>
        <v>Ecotoxicity, fr</v>
      </c>
      <c r="B10" s="292" t="str">
        <f>'S14_Upscaled LCA'!I10</f>
        <v>WR_2 (Reuse)</v>
      </c>
      <c r="C10" s="13">
        <f>'S14_Upscaled LCA'!N10</f>
        <v>17.515287300000001</v>
      </c>
      <c r="D10" s="316">
        <f>(J$4*($N$4/$M$4))*$C$10</f>
        <v>5.2540085762578082E-23</v>
      </c>
      <c r="E10" s="316">
        <f t="shared" ref="E10" si="7">(K$4*($N$4/$M$4))*$C$10</f>
        <v>8.3976204022195931E-4</v>
      </c>
      <c r="F10" s="316">
        <f>(L$4*($N$4/$M$4))*$C$10</f>
        <v>4.132860302663046E-3</v>
      </c>
      <c r="I10" s="305" t="s">
        <v>598</v>
      </c>
      <c r="J10" s="305">
        <v>0.87</v>
      </c>
      <c r="K10" s="300">
        <v>1.19</v>
      </c>
      <c r="L10" s="296">
        <v>1.9</v>
      </c>
      <c r="M10" s="305">
        <v>103.1</v>
      </c>
      <c r="N10" s="261">
        <v>129.4</v>
      </c>
    </row>
    <row r="11" spans="1:15" ht="16.149999999999999" customHeight="1">
      <c r="A11" s="292" t="str">
        <f>'S14_Upscaled LCA'!H11</f>
        <v>Eutrophication, m</v>
      </c>
      <c r="B11" s="291" t="str">
        <f>'S14_Upscaled LCA'!I11</f>
        <v xml:space="preserve">BAU (No Reuse) </v>
      </c>
      <c r="C11" s="13">
        <f>'S14_Upscaled LCA'!N11</f>
        <v>2.1565600000000001E-3</v>
      </c>
      <c r="D11" s="316">
        <f>(J$5*($N$5/$M$5))*$C$11</f>
        <v>8.6884476570320088E-3</v>
      </c>
      <c r="E11" s="316">
        <f t="shared" ref="E11:F11" si="8">(K$5*($N$5/$M$5))*$C$11</f>
        <v>8.6884476570320088E-3</v>
      </c>
      <c r="F11" s="316">
        <f t="shared" si="8"/>
        <v>8.6884476570320088E-3</v>
      </c>
      <c r="I11" s="305" t="s">
        <v>589</v>
      </c>
      <c r="J11" s="305">
        <v>661974</v>
      </c>
      <c r="K11" s="300">
        <v>784126</v>
      </c>
      <c r="L11" s="296">
        <v>1204600</v>
      </c>
      <c r="M11" s="305">
        <v>103.1</v>
      </c>
      <c r="N11" s="261">
        <v>129.4</v>
      </c>
    </row>
    <row r="12" spans="1:15" ht="16.149999999999999" customHeight="1">
      <c r="A12" s="292" t="str">
        <f>'S14_Upscaled LCA'!H12</f>
        <v>Eutrophication, m</v>
      </c>
      <c r="B12" s="292" t="str">
        <f>'S14_Upscaled LCA'!I12</f>
        <v>WR_1 (Reuse)</v>
      </c>
      <c r="C12" s="13">
        <f>'S14_Upscaled LCA'!N12</f>
        <v>1.8150000000000002E-3</v>
      </c>
      <c r="D12" s="316">
        <f>(J$5*($N$5/$M$5))*$C$12</f>
        <v>7.312355092143551E-3</v>
      </c>
      <c r="E12" s="316">
        <f t="shared" ref="E12" si="9">(K$5*($N$5/$M$5))*$C$12</f>
        <v>7.312355092143551E-3</v>
      </c>
      <c r="F12" s="316">
        <f>(L$5*($N$5/$M$5))*$C$12</f>
        <v>7.312355092143551E-3</v>
      </c>
      <c r="I12" s="305" t="s">
        <v>594</v>
      </c>
      <c r="J12" s="305">
        <v>30211</v>
      </c>
      <c r="K12" s="300">
        <v>163447</v>
      </c>
      <c r="L12" s="296">
        <v>755270</v>
      </c>
      <c r="M12" s="305">
        <v>103.1</v>
      </c>
      <c r="N12" s="261">
        <v>129.4</v>
      </c>
    </row>
    <row r="13" spans="1:15" ht="16.149999999999999" customHeight="1">
      <c r="A13" s="292" t="str">
        <f>'S14_Upscaled LCA'!H13</f>
        <v>Eutrophication, m</v>
      </c>
      <c r="B13" s="292" t="str">
        <f>'S14_Upscaled LCA'!I13</f>
        <v>WR_2 (Reuse)</v>
      </c>
      <c r="C13" s="13">
        <f>'S14_Upscaled LCA'!N13</f>
        <v>1.8128482700000002E-3</v>
      </c>
      <c r="D13" s="316">
        <f>(J$5*($N$5/$M$5))*$C$13</f>
        <v>7.30368610381164E-3</v>
      </c>
      <c r="E13" s="316">
        <f t="shared" ref="E13:F13" si="10">(K$5*($N$5/$M$5))*$C$13</f>
        <v>7.30368610381164E-3</v>
      </c>
      <c r="F13" s="316">
        <f t="shared" si="10"/>
        <v>7.30368610381164E-3</v>
      </c>
      <c r="I13" s="305" t="s">
        <v>593</v>
      </c>
      <c r="J13" s="305">
        <v>174324</v>
      </c>
      <c r="K13" s="300">
        <v>902616</v>
      </c>
      <c r="L13" s="296">
        <v>2789181</v>
      </c>
      <c r="M13" s="305">
        <v>103.1</v>
      </c>
      <c r="N13" s="261">
        <v>129.4</v>
      </c>
    </row>
    <row r="14" spans="1:15" ht="16.149999999999999" customHeight="1">
      <c r="A14" s="292" t="str">
        <f>'S14_Upscaled LCA'!H14</f>
        <v>Eutrophication, fr</v>
      </c>
      <c r="B14" s="291" t="str">
        <f>'S14_Upscaled LCA'!I14</f>
        <v xml:space="preserve">BAU (No Reuse) </v>
      </c>
      <c r="C14" s="13">
        <f>'S14_Upscaled LCA'!N14</f>
        <v>8.6949999999999986E-5</v>
      </c>
      <c r="D14" s="316">
        <f>(J$6*($N$6/$M$6))*$C$14</f>
        <v>2.8373868089233751E-5</v>
      </c>
      <c r="E14" s="316">
        <f t="shared" ref="E14:F14" si="11">(K$6*($N$6/$M$6))*$C$14</f>
        <v>2.0953010281280309E-4</v>
      </c>
      <c r="F14" s="316">
        <f t="shared" si="11"/>
        <v>2.3790397090203683E-4</v>
      </c>
      <c r="I14" s="305" t="s">
        <v>586</v>
      </c>
      <c r="J14" s="305">
        <v>0.17599999999999999</v>
      </c>
      <c r="K14" s="300">
        <v>0.34399999999999997</v>
      </c>
      <c r="L14" s="296">
        <v>1.617</v>
      </c>
      <c r="M14" s="305">
        <v>103.1</v>
      </c>
      <c r="N14" s="261">
        <v>129.4</v>
      </c>
    </row>
    <row r="15" spans="1:15" ht="16.149999999999999" customHeight="1">
      <c r="A15" s="292" t="str">
        <f>'S14_Upscaled LCA'!H15</f>
        <v>Eutrophication, fr</v>
      </c>
      <c r="B15" s="292" t="str">
        <f>'S14_Upscaled LCA'!I15</f>
        <v>WR_1 (Reuse)</v>
      </c>
      <c r="C15" s="13">
        <f>'S14_Upscaled LCA'!N15</f>
        <v>7.7199999999999993E-5</v>
      </c>
      <c r="D15" s="316">
        <f>(J$6*($N$6/$M$6))*$C$15</f>
        <v>2.5192209505334625E-5</v>
      </c>
      <c r="E15" s="316">
        <f t="shared" ref="E15:F15" si="12">(K$6*($N$6/$M$6))*$C$15</f>
        <v>1.8603477788554801E-4</v>
      </c>
      <c r="F15" s="316">
        <f t="shared" si="12"/>
        <v>2.1122698739088264E-4</v>
      </c>
      <c r="I15" s="305" t="s">
        <v>601</v>
      </c>
      <c r="J15" s="305">
        <v>4.1900000000000001E-3</v>
      </c>
      <c r="K15" s="300">
        <v>4.9899999999999996E-3</v>
      </c>
      <c r="L15" s="296">
        <v>0.2359</v>
      </c>
      <c r="M15" s="305">
        <v>103.1</v>
      </c>
      <c r="N15" s="261">
        <v>129.4</v>
      </c>
    </row>
    <row r="16" spans="1:15" ht="16.149999999999999" customHeight="1">
      <c r="A16" s="292" t="str">
        <f>'S14_Upscaled LCA'!H16</f>
        <v>Eutrophication, fr</v>
      </c>
      <c r="B16" s="292" t="str">
        <f>'S14_Upscaled LCA'!I16</f>
        <v>WR_2 (Reuse)</v>
      </c>
      <c r="C16" s="13">
        <f>'S14_Upscaled LCA'!N16</f>
        <v>7.6836795999999998E-5</v>
      </c>
      <c r="D16" s="316">
        <f>(J$6*($N$6/$M$6))*$C$16</f>
        <v>2.5073687338739089E-5</v>
      </c>
      <c r="E16" s="316">
        <f t="shared" ref="E16:F16" si="13">(K$6*($N$6/$M$6))*$C$16</f>
        <v>1.8515953727068867E-4</v>
      </c>
      <c r="F16" s="316">
        <f t="shared" si="13"/>
        <v>2.1023322460942775E-4</v>
      </c>
      <c r="I16" s="305" t="s">
        <v>599</v>
      </c>
      <c r="J16" s="305">
        <v>0</v>
      </c>
      <c r="K16" s="300">
        <v>1.2999999999999999E-3</v>
      </c>
      <c r="L16" s="296">
        <v>6.7999999999999996E-3</v>
      </c>
      <c r="M16" s="305">
        <v>103.1</v>
      </c>
      <c r="N16" s="261">
        <v>129.4</v>
      </c>
    </row>
    <row r="17" spans="1:14" ht="16.149999999999999" customHeight="1" thickBot="1">
      <c r="A17" s="292" t="str">
        <f>'S14_Upscaled LCA'!H17</f>
        <v xml:space="preserve">Human Toxicity, c </v>
      </c>
      <c r="B17" s="291" t="str">
        <f>'S14_Upscaled LCA'!I17</f>
        <v xml:space="preserve">BAU (No Reuse) </v>
      </c>
      <c r="C17" s="13">
        <f>'S14_Upscaled LCA'!N17</f>
        <v>4.9420000000000002E-11</v>
      </c>
      <c r="D17" s="316">
        <f>(J$13*($N$13/$M$13))*$C$17</f>
        <v>1.0812734385567412E-5</v>
      </c>
      <c r="E17" s="316">
        <f t="shared" ref="E17:F17" si="14">(K$13*($N$13/$M$13))*$C$17</f>
        <v>5.598625008698352E-5</v>
      </c>
      <c r="F17" s="316">
        <f t="shared" si="14"/>
        <v>1.730035640891174E-4</v>
      </c>
      <c r="I17" s="306" t="s">
        <v>600</v>
      </c>
      <c r="J17" s="306">
        <v>0</v>
      </c>
      <c r="K17" s="297">
        <v>1.64</v>
      </c>
      <c r="L17" s="298">
        <v>6.53</v>
      </c>
      <c r="M17" s="306">
        <v>103.1</v>
      </c>
      <c r="N17" s="261">
        <v>129.4</v>
      </c>
    </row>
    <row r="18" spans="1:14">
      <c r="A18" s="292" t="str">
        <f>'S14_Upscaled LCA'!H18</f>
        <v xml:space="preserve">Human Toxicity, c </v>
      </c>
      <c r="B18" s="292" t="str">
        <f>'S14_Upscaled LCA'!I18</f>
        <v>WR_1 (Reuse)</v>
      </c>
      <c r="C18" s="13">
        <f>'S14_Upscaled LCA'!N18</f>
        <v>3.75E-11</v>
      </c>
      <c r="D18" s="316">
        <f>(J$13*($N$13/$M$13))*$C$18</f>
        <v>8.2047256062075666E-6</v>
      </c>
      <c r="E18" s="316">
        <f t="shared" ref="E18:F18" si="15">(K$13*($N$13/$M$13))*$C$18</f>
        <v>4.2482484384093116E-5</v>
      </c>
      <c r="F18" s="316">
        <f t="shared" si="15"/>
        <v>1.3127546850145492E-4</v>
      </c>
      <c r="I18" s="313" t="s">
        <v>765</v>
      </c>
      <c r="J18" s="299"/>
      <c r="K18" s="299"/>
      <c r="L18" s="299"/>
    </row>
    <row r="19" spans="1:14">
      <c r="A19" s="292" t="str">
        <f>'S14_Upscaled LCA'!H19</f>
        <v xml:space="preserve">Human Toxicity, c </v>
      </c>
      <c r="B19" s="292" t="str">
        <f>'S14_Upscaled LCA'!I19</f>
        <v>WR_2 (Reuse)</v>
      </c>
      <c r="C19" s="13">
        <f>'S14_Upscaled LCA'!N19</f>
        <v>3.6803510400000002E-11</v>
      </c>
      <c r="D19" s="316">
        <f>(J$13*($N$13/$M$13))*$C$19</f>
        <v>8.052338778058839E-6</v>
      </c>
      <c r="E19" s="316">
        <f t="shared" ref="E19:F19" si="16">(K$13*($N$13/$M$13))*$C$19</f>
        <v>4.1693454822608235E-5</v>
      </c>
      <c r="F19" s="316">
        <f t="shared" si="16"/>
        <v>1.2883728187355117E-4</v>
      </c>
    </row>
    <row r="20" spans="1:14">
      <c r="A20" s="292" t="str">
        <f>'S14_Upscaled LCA'!H20</f>
        <v>Human Toxicity, nc</v>
      </c>
      <c r="B20" s="291" t="str">
        <f>'S14_Upscaled LCA'!I20</f>
        <v xml:space="preserve">BAU (No Reuse) </v>
      </c>
      <c r="C20" s="13">
        <f>'S14_Upscaled LCA'!N20</f>
        <v>9.2519999999999997E-8</v>
      </c>
      <c r="D20" s="316">
        <f>(J$12*($N$13/$M$13))*$C$20</f>
        <v>3.5081353110378273E-3</v>
      </c>
      <c r="E20" s="316">
        <f t="shared" ref="E20:F20" si="17">(K$12*($N$13/$M$13))*$C$20</f>
        <v>1.8979649537691563E-2</v>
      </c>
      <c r="F20" s="316">
        <f t="shared" si="17"/>
        <v>8.7702802170320074E-2</v>
      </c>
    </row>
    <row r="21" spans="1:14">
      <c r="A21" s="292" t="str">
        <f>'S14_Upscaled LCA'!H21</f>
        <v>Human Toxicity, nc</v>
      </c>
      <c r="B21" s="292" t="str">
        <f>'S14_Upscaled LCA'!I21</f>
        <v>WR_1 (Reuse)</v>
      </c>
      <c r="C21" s="13">
        <f>'S14_Upscaled LCA'!N21</f>
        <v>7.8670000000000002E-8</v>
      </c>
      <c r="D21" s="316">
        <f>(J$12*($N$13/$M$13))*$C$21</f>
        <v>2.9829767068671196E-3</v>
      </c>
      <c r="E21" s="316">
        <f t="shared" ref="E21:F21" si="18">(K$12*($N$13/$M$13))*$C$21</f>
        <v>1.613844605631426E-2</v>
      </c>
      <c r="F21" s="316">
        <f t="shared" si="18"/>
        <v>7.4573923981183315E-2</v>
      </c>
    </row>
    <row r="22" spans="1:14">
      <c r="A22" s="292" t="str">
        <f>'S14_Upscaled LCA'!H22</f>
        <v>Human Toxicity, nc</v>
      </c>
      <c r="B22" s="292" t="str">
        <f>'S14_Upscaled LCA'!I22</f>
        <v>WR_2 (Reuse)</v>
      </c>
      <c r="C22" s="13">
        <f>'S14_Upscaled LCA'!N22</f>
        <v>9.1372000000000006E-8</v>
      </c>
      <c r="D22" s="316">
        <f>(J$12*($N$13/$M$13))*$C$22</f>
        <v>3.4646059191542197E-3</v>
      </c>
      <c r="E22" s="316">
        <f t="shared" ref="E22:F22" si="19">(K$12*($N$13/$M$13))*$C$22</f>
        <v>1.8744147617357907E-2</v>
      </c>
      <c r="F22" s="316">
        <f t="shared" si="19"/>
        <v>8.6614574577458789E-2</v>
      </c>
    </row>
    <row r="23" spans="1:14">
      <c r="A23" s="292" t="str">
        <f>'S14_Upscaled LCA'!H23</f>
        <v xml:space="preserve">Water Use </v>
      </c>
      <c r="B23" s="291" t="str">
        <f>'S14_Upscaled LCA'!I23</f>
        <v xml:space="preserve">BAU (No Reuse) </v>
      </c>
      <c r="C23" s="13">
        <f>'S14_Upscaled LCA'!N23</f>
        <v>1.0087664999999999</v>
      </c>
      <c r="D23" s="316">
        <f>(J$15*($N$15/$M$15))*$C$23</f>
        <v>5.3049376679825408E-3</v>
      </c>
      <c r="E23" s="316">
        <f>(K$15*($N$15/$M$15))*$C$23</f>
        <v>6.3178135950436465E-3</v>
      </c>
      <c r="F23" s="316">
        <f t="shared" ref="F23" si="20">(L$15*($N$15/$M$15))*$C$23</f>
        <v>0.29867178899214353</v>
      </c>
    </row>
    <row r="24" spans="1:14">
      <c r="A24" s="292" t="str">
        <f>'S14_Upscaled LCA'!H24</f>
        <v xml:space="preserve">Water Use </v>
      </c>
      <c r="B24" s="292" t="str">
        <f>'S14_Upscaled LCA'!I24</f>
        <v>WR_1 (Reuse)</v>
      </c>
      <c r="C24" s="13">
        <f>'S14_Upscaled LCA'!N24</f>
        <v>-8.1333066300000006E-2</v>
      </c>
      <c r="D24" s="316">
        <f>(J$15*($N$15/$M$15))*$C$24</f>
        <v>-4.2771726367538126E-4</v>
      </c>
      <c r="E24" s="316">
        <f t="shared" ref="E24:F24" si="21">(K$15*($N$15/$M$15))*$C$24</f>
        <v>-5.0938165769454709E-4</v>
      </c>
      <c r="F24" s="316">
        <f t="shared" si="21"/>
        <v>-2.4080788186401535E-2</v>
      </c>
    </row>
    <row r="25" spans="1:14">
      <c r="A25" s="292" t="str">
        <f>'S14_Upscaled LCA'!H25</f>
        <v>Water Use *</v>
      </c>
      <c r="B25" s="292" t="str">
        <f>'S14_Upscaled LCA'!I25</f>
        <v>WR_2 (Reuse)</v>
      </c>
      <c r="C25" s="13">
        <f>'S14_Upscaled LCA'!N25</f>
        <v>-8.1829285400000007E-2</v>
      </c>
      <c r="D25" s="316">
        <f>(J$15*($N$15/$M$15))*$C$25</f>
        <v>-4.3032679858277795E-4</v>
      </c>
      <c r="E25" s="316">
        <f t="shared" ref="E25:F25" si="22">(K$15*($N$15/$M$15))*$C$25</f>
        <v>-5.1248943315705534E-4</v>
      </c>
      <c r="F25" s="316">
        <f t="shared" si="22"/>
        <v>-2.4227706870090054E-2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2513-60DA-458C-807E-0205C7070A8A}">
  <sheetPr>
    <tabColor rgb="FFD19797"/>
  </sheetPr>
  <dimension ref="A1:C25"/>
  <sheetViews>
    <sheetView workbookViewId="0">
      <selection activeCell="B22" sqref="B22"/>
    </sheetView>
  </sheetViews>
  <sheetFormatPr defaultColWidth="8.85546875" defaultRowHeight="14.1"/>
  <cols>
    <col min="1" max="1" width="21.5703125" style="10" customWidth="1"/>
    <col min="2" max="2" width="25.7109375" style="10" customWidth="1"/>
    <col min="3" max="3" width="26.85546875" style="10" customWidth="1"/>
    <col min="4" max="16384" width="8.85546875" style="10"/>
  </cols>
  <sheetData>
    <row r="1" spans="1:3" ht="27.95">
      <c r="A1" s="20" t="s">
        <v>60</v>
      </c>
      <c r="B1" s="21" t="s">
        <v>61</v>
      </c>
      <c r="C1" s="22"/>
    </row>
    <row r="2" spans="1:3">
      <c r="A2" s="23" t="e" vm="1">
        <v>#VALUE!</v>
      </c>
      <c r="B2" s="24">
        <v>0.69338422391900001</v>
      </c>
    </row>
    <row r="3" spans="1:3">
      <c r="A3" s="23" t="e" vm="2">
        <v>#VALUE!</v>
      </c>
      <c r="B3" s="24">
        <v>0.63764098642699996</v>
      </c>
    </row>
    <row r="4" spans="1:3">
      <c r="A4" s="23" t="e" vm="3">
        <v>#VALUE!</v>
      </c>
      <c r="B4" s="11">
        <v>0</v>
      </c>
    </row>
    <row r="5" spans="1:3">
      <c r="A5" s="23" t="e" vm="4">
        <v>#VALUE!</v>
      </c>
      <c r="B5" s="24">
        <v>0.61838893408999995</v>
      </c>
    </row>
    <row r="6" spans="1:3">
      <c r="A6" s="23" t="e" vm="5">
        <v>#VALUE!</v>
      </c>
      <c r="B6" s="24">
        <v>0.62545454545500001</v>
      </c>
    </row>
    <row r="7" spans="1:3">
      <c r="A7" s="23" t="e" vm="6">
        <v>#VALUE!</v>
      </c>
      <c r="B7" s="24">
        <v>0.79161290322599998</v>
      </c>
    </row>
    <row r="8" spans="1:3">
      <c r="A8" s="23" t="e" vm="7">
        <v>#VALUE!</v>
      </c>
      <c r="B8" s="24">
        <v>0.12116176783099999</v>
      </c>
    </row>
    <row r="9" spans="1:3">
      <c r="A9" s="23" t="e" vm="8">
        <v>#VALUE!</v>
      </c>
      <c r="B9" s="11">
        <v>0</v>
      </c>
    </row>
    <row r="10" spans="1:3">
      <c r="A10" s="23" t="e" vm="9">
        <v>#VALUE!</v>
      </c>
      <c r="B10" s="24">
        <v>0.80092867022299996</v>
      </c>
    </row>
    <row r="11" spans="1:3">
      <c r="A11" s="23" t="e" vm="10">
        <v>#VALUE!</v>
      </c>
      <c r="B11" s="24">
        <v>0.51961040090400001</v>
      </c>
    </row>
    <row r="12" spans="1:3">
      <c r="A12" s="23" t="e" vm="11">
        <v>#VALUE!</v>
      </c>
      <c r="B12" s="24">
        <v>0.50162289761000001</v>
      </c>
    </row>
    <row r="13" spans="1:3">
      <c r="A13" s="23" t="e" vm="12">
        <v>#VALUE!</v>
      </c>
      <c r="B13" s="24">
        <v>0.38043478260899999</v>
      </c>
    </row>
    <row r="14" spans="1:3">
      <c r="A14" s="23" t="e" vm="13">
        <v>#VALUE!</v>
      </c>
      <c r="B14" s="24">
        <v>0.83190394511099996</v>
      </c>
    </row>
    <row r="15" spans="1:3">
      <c r="A15" s="23" t="e" vm="14">
        <v>#VALUE!</v>
      </c>
      <c r="B15" s="24">
        <v>0.38077573909399998</v>
      </c>
    </row>
    <row r="16" spans="1:3">
      <c r="A16" s="23" t="e" vm="15">
        <v>#VALUE!</v>
      </c>
      <c r="B16" s="24">
        <v>0</v>
      </c>
    </row>
    <row r="17" spans="1:3">
      <c r="A17" s="23" t="e" vm="16">
        <v>#VALUE!</v>
      </c>
      <c r="B17" s="24">
        <v>0</v>
      </c>
    </row>
    <row r="18" spans="1:3">
      <c r="A18" s="23" t="e" vm="17">
        <v>#VALUE!</v>
      </c>
      <c r="B18" s="24">
        <v>0.87776819096900005</v>
      </c>
    </row>
    <row r="19" spans="1:3">
      <c r="A19" s="23" t="e" vm="18">
        <v>#VALUE!</v>
      </c>
      <c r="B19" s="24">
        <v>0.481266726137</v>
      </c>
    </row>
    <row r="20" spans="1:3">
      <c r="A20" s="23" t="e" vm="19">
        <v>#VALUE!</v>
      </c>
      <c r="B20" s="24">
        <v>0.29880478090000001</v>
      </c>
    </row>
    <row r="21" spans="1:3">
      <c r="A21" s="23" t="e" vm="20">
        <v>#VALUE!</v>
      </c>
      <c r="B21" s="24">
        <v>0.65334252239799995</v>
      </c>
    </row>
    <row r="22" spans="1:3">
      <c r="A22" s="23" t="e" vm="21">
        <v>#VALUE!</v>
      </c>
      <c r="B22" s="24">
        <v>0.87527743967899996</v>
      </c>
    </row>
    <row r="23" spans="1:3">
      <c r="A23" s="23" t="e" vm="22">
        <v>#VALUE!</v>
      </c>
      <c r="B23" s="24">
        <v>0.75542175391599997</v>
      </c>
      <c r="C23" s="10">
        <v>1</v>
      </c>
    </row>
    <row r="24" spans="1:3">
      <c r="A24" s="23" t="e" vm="23">
        <v>#VALUE!</v>
      </c>
      <c r="B24" s="24">
        <v>0.87241378012500004</v>
      </c>
    </row>
    <row r="25" spans="1:3">
      <c r="B25" s="25">
        <f>AVERAGE(B2:B24)</f>
        <v>0.50944413002708688</v>
      </c>
    </row>
  </sheetData>
  <autoFilter ref="A1:B1" xr:uid="{43932513-60DA-458C-807E-0205C7070A8A}">
    <sortState xmlns:xlrd2="http://schemas.microsoft.com/office/spreadsheetml/2017/richdata2" ref="A2:B24">
      <sortCondition ref="A1"/>
    </sortState>
  </autoFilter>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C6EAD-8634-44FD-879E-4DC99F516D73}">
  <sheetPr>
    <tabColor rgb="FF002060"/>
  </sheetPr>
  <dimension ref="A1:I92"/>
  <sheetViews>
    <sheetView zoomScale="75" workbookViewId="0">
      <selection activeCell="F19" sqref="F19"/>
    </sheetView>
  </sheetViews>
  <sheetFormatPr defaultRowHeight="14.45"/>
  <cols>
    <col min="1" max="1" width="8.85546875" style="10"/>
    <col min="2" max="2" width="9.140625" style="10" bestFit="1" customWidth="1"/>
    <col min="3" max="5" width="12" style="10" bestFit="1" customWidth="1"/>
    <col min="6" max="6" width="9.28515625" bestFit="1" customWidth="1"/>
    <col min="7" max="7" width="12.7109375" bestFit="1" customWidth="1"/>
    <col min="8" max="9" width="12" bestFit="1" customWidth="1"/>
    <col min="14" max="14" width="11.28515625" customWidth="1"/>
  </cols>
  <sheetData>
    <row r="1" spans="1:5">
      <c r="A1" s="11" t="s">
        <v>583</v>
      </c>
      <c r="B1" s="11" t="s">
        <v>766</v>
      </c>
      <c r="C1" s="11" t="s">
        <v>767</v>
      </c>
      <c r="D1" s="11" t="s">
        <v>768</v>
      </c>
      <c r="E1" s="11" t="s">
        <v>769</v>
      </c>
    </row>
    <row r="2" spans="1:5">
      <c r="A2" s="11" t="s">
        <v>586</v>
      </c>
      <c r="B2" s="13">
        <v>0.96899999999999997</v>
      </c>
      <c r="C2" s="326">
        <f>B2-1</f>
        <v>-3.1000000000000028E-2</v>
      </c>
      <c r="D2" s="13">
        <v>0.96099999999999997</v>
      </c>
      <c r="E2" s="13">
        <f>D2-1</f>
        <v>-3.9000000000000035E-2</v>
      </c>
    </row>
    <row r="3" spans="1:5">
      <c r="A3" s="11" t="s">
        <v>587</v>
      </c>
      <c r="B3" s="13">
        <v>0.90300000000000002</v>
      </c>
      <c r="C3" s="326">
        <f t="shared" ref="C3:C17" si="0">B3-1</f>
        <v>-9.6999999999999975E-2</v>
      </c>
      <c r="D3" s="13">
        <v>0.91100000000000003</v>
      </c>
      <c r="E3" s="13">
        <f t="shared" ref="E3:E17" si="1">D3-1</f>
        <v>-8.8999999999999968E-2</v>
      </c>
    </row>
    <row r="4" spans="1:5">
      <c r="A4" s="11" t="s">
        <v>588</v>
      </c>
      <c r="B4" s="13">
        <v>0.59099999999999997</v>
      </c>
      <c r="C4" s="326">
        <f t="shared" si="0"/>
        <v>-0.40900000000000003</v>
      </c>
      <c r="D4" s="13">
        <v>0.55800000000000005</v>
      </c>
      <c r="E4" s="13">
        <f t="shared" si="1"/>
        <v>-0.44199999999999995</v>
      </c>
    </row>
    <row r="5" spans="1:5">
      <c r="A5" s="11" t="s">
        <v>591</v>
      </c>
      <c r="B5" s="13">
        <v>0.99299999999999999</v>
      </c>
      <c r="C5" s="326">
        <f t="shared" si="0"/>
        <v>-7.0000000000000062E-3</v>
      </c>
      <c r="D5" s="13">
        <v>0.995</v>
      </c>
      <c r="E5" s="13">
        <f t="shared" si="1"/>
        <v>-5.0000000000000044E-3</v>
      </c>
    </row>
    <row r="6" spans="1:5">
      <c r="A6" s="11" t="s">
        <v>590</v>
      </c>
      <c r="B6" s="13">
        <v>0.88100000000000001</v>
      </c>
      <c r="C6" s="326">
        <f t="shared" si="0"/>
        <v>-0.11899999999999999</v>
      </c>
      <c r="D6" s="13">
        <v>0.871</v>
      </c>
      <c r="E6" s="13">
        <f t="shared" si="1"/>
        <v>-0.129</v>
      </c>
    </row>
    <row r="7" spans="1:5">
      <c r="A7" s="11" t="s">
        <v>592</v>
      </c>
      <c r="B7" s="13">
        <v>0.94499999999999995</v>
      </c>
      <c r="C7" s="326">
        <f t="shared" si="0"/>
        <v>-5.5000000000000049E-2</v>
      </c>
      <c r="D7" s="13">
        <v>0.94399999999999995</v>
      </c>
      <c r="E7" s="13">
        <f t="shared" si="1"/>
        <v>-5.600000000000005E-2</v>
      </c>
    </row>
    <row r="8" spans="1:5">
      <c r="A8" s="11" t="s">
        <v>593</v>
      </c>
      <c r="B8" s="13">
        <v>0.51</v>
      </c>
      <c r="C8" s="326">
        <f t="shared" si="0"/>
        <v>-0.49</v>
      </c>
      <c r="D8" s="13">
        <v>0.49399999999999999</v>
      </c>
      <c r="E8" s="13">
        <f t="shared" si="1"/>
        <v>-0.50600000000000001</v>
      </c>
    </row>
    <row r="9" spans="1:5">
      <c r="A9" s="11" t="s">
        <v>594</v>
      </c>
      <c r="B9" s="13">
        <v>0.59299999999999997</v>
      </c>
      <c r="C9" s="326">
        <f t="shared" si="0"/>
        <v>-0.40700000000000003</v>
      </c>
      <c r="D9" s="13">
        <v>0.50700000000000001</v>
      </c>
      <c r="E9" s="13">
        <f t="shared" si="1"/>
        <v>-0.49299999999999999</v>
      </c>
    </row>
    <row r="10" spans="1:5">
      <c r="A10" s="11" t="s">
        <v>595</v>
      </c>
      <c r="B10" s="13">
        <v>1</v>
      </c>
      <c r="C10" s="326">
        <f t="shared" si="0"/>
        <v>0</v>
      </c>
      <c r="D10" s="13">
        <v>1</v>
      </c>
      <c r="E10" s="13">
        <f t="shared" si="1"/>
        <v>0</v>
      </c>
    </row>
    <row r="11" spans="1:5">
      <c r="A11" s="11" t="s">
        <v>596</v>
      </c>
      <c r="B11" s="13">
        <v>0.50900000000000001</v>
      </c>
      <c r="C11" s="326">
        <f t="shared" si="0"/>
        <v>-0.49099999999999999</v>
      </c>
      <c r="D11" s="13">
        <v>0.51900000000000002</v>
      </c>
      <c r="E11" s="13">
        <f t="shared" si="1"/>
        <v>-0.48099999999999998</v>
      </c>
    </row>
    <row r="12" spans="1:5">
      <c r="A12" s="11" t="s">
        <v>597</v>
      </c>
      <c r="B12" s="13">
        <v>0.71599999999999997</v>
      </c>
      <c r="C12" s="326">
        <f t="shared" si="0"/>
        <v>-0.28400000000000003</v>
      </c>
      <c r="D12" s="13">
        <v>0.73499999999999999</v>
      </c>
      <c r="E12" s="13">
        <f t="shared" si="1"/>
        <v>-0.26500000000000001</v>
      </c>
    </row>
    <row r="13" spans="1:5">
      <c r="A13" s="11" t="s">
        <v>589</v>
      </c>
      <c r="B13" s="13">
        <v>0.995</v>
      </c>
      <c r="C13" s="326">
        <f t="shared" si="0"/>
        <v>-5.0000000000000044E-3</v>
      </c>
      <c r="D13" s="13">
        <v>0.997</v>
      </c>
      <c r="E13" s="13">
        <f t="shared" si="1"/>
        <v>-3.0000000000000027E-3</v>
      </c>
    </row>
    <row r="14" spans="1:5">
      <c r="A14" s="11" t="s">
        <v>598</v>
      </c>
      <c r="B14" s="13">
        <v>0.77600000000000002</v>
      </c>
      <c r="C14" s="326">
        <f t="shared" si="0"/>
        <v>-0.22399999999999998</v>
      </c>
      <c r="D14" s="13">
        <v>0.77600000000000002</v>
      </c>
      <c r="E14" s="13">
        <f t="shared" si="1"/>
        <v>-0.22399999999999998</v>
      </c>
    </row>
    <row r="15" spans="1:5">
      <c r="A15" s="11" t="s">
        <v>599</v>
      </c>
      <c r="B15" s="13">
        <v>0.94299999999999995</v>
      </c>
      <c r="C15" s="326">
        <f t="shared" si="0"/>
        <v>-5.7000000000000051E-2</v>
      </c>
      <c r="D15" s="13">
        <v>0.94599999999999995</v>
      </c>
      <c r="E15" s="13">
        <f t="shared" si="1"/>
        <v>-5.4000000000000048E-2</v>
      </c>
    </row>
    <row r="16" spans="1:5">
      <c r="A16" s="11" t="s">
        <v>600</v>
      </c>
      <c r="B16" s="13">
        <v>0.98799999999999999</v>
      </c>
      <c r="C16" s="326">
        <f t="shared" si="0"/>
        <v>-1.2000000000000011E-2</v>
      </c>
      <c r="D16" s="13">
        <v>0.98599999999999999</v>
      </c>
      <c r="E16" s="13">
        <f t="shared" si="1"/>
        <v>-1.4000000000000012E-2</v>
      </c>
    </row>
    <row r="17" spans="1:5">
      <c r="A17" s="11" t="s">
        <v>601</v>
      </c>
      <c r="B17" s="13">
        <v>0.78800000000000003</v>
      </c>
      <c r="C17" s="326">
        <f t="shared" si="0"/>
        <v>-0.21199999999999997</v>
      </c>
      <c r="D17" s="13">
        <v>0.79300000000000004</v>
      </c>
      <c r="E17" s="13">
        <f t="shared" si="1"/>
        <v>-0.20699999999999996</v>
      </c>
    </row>
    <row r="19" spans="1:5">
      <c r="A19" s="10" t="s">
        <v>770</v>
      </c>
    </row>
    <row r="20" spans="1:5">
      <c r="A20" s="11" t="s">
        <v>771</v>
      </c>
      <c r="B20" s="11" t="s">
        <v>772</v>
      </c>
    </row>
    <row r="21" spans="1:5">
      <c r="A21" s="314">
        <f t="shared" ref="A21:A36" si="2">1-B2</f>
        <v>3.1000000000000028E-2</v>
      </c>
      <c r="B21" s="314">
        <f t="shared" ref="B21:B36" si="3">1-D2</f>
        <v>3.9000000000000035E-2</v>
      </c>
    </row>
    <row r="22" spans="1:5">
      <c r="A22" s="314">
        <f t="shared" si="2"/>
        <v>9.6999999999999975E-2</v>
      </c>
      <c r="B22" s="314">
        <f t="shared" si="3"/>
        <v>8.8999999999999968E-2</v>
      </c>
    </row>
    <row r="23" spans="1:5">
      <c r="A23" s="314">
        <f t="shared" si="2"/>
        <v>0.40900000000000003</v>
      </c>
      <c r="B23" s="314">
        <f t="shared" si="3"/>
        <v>0.44199999999999995</v>
      </c>
    </row>
    <row r="24" spans="1:5">
      <c r="A24" s="314">
        <f t="shared" si="2"/>
        <v>7.0000000000000062E-3</v>
      </c>
      <c r="B24" s="314">
        <f t="shared" si="3"/>
        <v>5.0000000000000044E-3</v>
      </c>
    </row>
    <row r="25" spans="1:5">
      <c r="A25" s="314">
        <f t="shared" si="2"/>
        <v>0.11899999999999999</v>
      </c>
      <c r="B25" s="314">
        <f t="shared" si="3"/>
        <v>0.129</v>
      </c>
    </row>
    <row r="26" spans="1:5">
      <c r="A26" s="314">
        <f t="shared" si="2"/>
        <v>5.5000000000000049E-2</v>
      </c>
      <c r="B26" s="314">
        <f t="shared" si="3"/>
        <v>5.600000000000005E-2</v>
      </c>
    </row>
    <row r="27" spans="1:5">
      <c r="A27" s="314">
        <f t="shared" si="2"/>
        <v>0.49</v>
      </c>
      <c r="B27" s="314">
        <f t="shared" si="3"/>
        <v>0.50600000000000001</v>
      </c>
    </row>
    <row r="28" spans="1:5">
      <c r="A28" s="314">
        <f t="shared" si="2"/>
        <v>0.40700000000000003</v>
      </c>
      <c r="B28" s="314">
        <f t="shared" si="3"/>
        <v>0.49299999999999999</v>
      </c>
    </row>
    <row r="29" spans="1:5">
      <c r="A29" s="314">
        <f t="shared" si="2"/>
        <v>0</v>
      </c>
      <c r="B29" s="314">
        <f t="shared" si="3"/>
        <v>0</v>
      </c>
    </row>
    <row r="30" spans="1:5">
      <c r="A30" s="314">
        <f t="shared" si="2"/>
        <v>0.49099999999999999</v>
      </c>
      <c r="B30" s="314">
        <f t="shared" si="3"/>
        <v>0.48099999999999998</v>
      </c>
    </row>
    <row r="31" spans="1:5">
      <c r="A31" s="314">
        <f t="shared" si="2"/>
        <v>0.28400000000000003</v>
      </c>
      <c r="B31" s="314">
        <f t="shared" si="3"/>
        <v>0.26500000000000001</v>
      </c>
    </row>
    <row r="32" spans="1:5">
      <c r="A32" s="314">
        <f t="shared" si="2"/>
        <v>5.0000000000000044E-3</v>
      </c>
      <c r="B32" s="314">
        <f t="shared" si="3"/>
        <v>3.0000000000000027E-3</v>
      </c>
    </row>
    <row r="33" spans="1:3">
      <c r="A33" s="314">
        <f t="shared" si="2"/>
        <v>0.22399999999999998</v>
      </c>
      <c r="B33" s="314">
        <f t="shared" si="3"/>
        <v>0.22399999999999998</v>
      </c>
    </row>
    <row r="34" spans="1:3">
      <c r="A34" s="314">
        <f t="shared" si="2"/>
        <v>5.7000000000000051E-2</v>
      </c>
      <c r="B34" s="314">
        <f t="shared" si="3"/>
        <v>5.4000000000000048E-2</v>
      </c>
    </row>
    <row r="35" spans="1:3">
      <c r="A35" s="314">
        <f t="shared" si="2"/>
        <v>1.2000000000000011E-2</v>
      </c>
      <c r="B35" s="314">
        <f t="shared" si="3"/>
        <v>1.4000000000000012E-2</v>
      </c>
    </row>
    <row r="36" spans="1:3">
      <c r="A36" s="314">
        <f t="shared" si="2"/>
        <v>0.21199999999999997</v>
      </c>
      <c r="B36" s="314">
        <f t="shared" si="3"/>
        <v>0.20699999999999996</v>
      </c>
    </row>
    <row r="39" spans="1:3">
      <c r="C39" s="327"/>
    </row>
    <row r="40" spans="1:3">
      <c r="C40" s="327"/>
    </row>
    <row r="41" spans="1:3">
      <c r="C41" s="327"/>
    </row>
    <row r="42" spans="1:3">
      <c r="C42" s="327"/>
    </row>
    <row r="43" spans="1:3">
      <c r="C43" s="327"/>
    </row>
    <row r="44" spans="1:3">
      <c r="C44" s="327"/>
    </row>
    <row r="45" spans="1:3">
      <c r="C45" s="327"/>
    </row>
    <row r="46" spans="1:3">
      <c r="C46" s="327"/>
    </row>
    <row r="47" spans="1:3">
      <c r="C47" s="327"/>
    </row>
    <row r="48" spans="1:3">
      <c r="C48" s="327"/>
    </row>
    <row r="52" spans="1:9">
      <c r="A52" s="10" t="s">
        <v>773</v>
      </c>
      <c r="B52" s="10" t="s">
        <v>774</v>
      </c>
      <c r="F52" s="10"/>
      <c r="G52" s="10"/>
      <c r="H52" s="10"/>
      <c r="I52" s="10"/>
    </row>
    <row r="53" spans="1:9">
      <c r="A53" s="10" t="s">
        <v>775</v>
      </c>
      <c r="B53" s="10" t="s">
        <v>776</v>
      </c>
      <c r="F53" s="10"/>
      <c r="G53" s="10"/>
      <c r="H53" s="10"/>
      <c r="I53" s="10"/>
    </row>
    <row r="54" spans="1:9">
      <c r="A54" s="10" t="s">
        <v>633</v>
      </c>
      <c r="B54" s="10" t="s">
        <v>777</v>
      </c>
      <c r="C54" s="10" t="s">
        <v>778</v>
      </c>
      <c r="D54" s="10" t="s">
        <v>779</v>
      </c>
      <c r="E54" s="10" t="s">
        <v>780</v>
      </c>
      <c r="F54" s="10" t="s">
        <v>781</v>
      </c>
      <c r="G54" s="10" t="s">
        <v>782</v>
      </c>
      <c r="H54" s="10" t="s">
        <v>783</v>
      </c>
      <c r="I54" s="10" t="s">
        <v>784</v>
      </c>
    </row>
    <row r="55" spans="1:9">
      <c r="A55" s="10" t="s">
        <v>586</v>
      </c>
      <c r="B55" s="10" t="s">
        <v>785</v>
      </c>
      <c r="C55" s="278">
        <v>3.4299999999999999E-4</v>
      </c>
      <c r="D55" s="278">
        <v>3.3399999999999999E-4</v>
      </c>
      <c r="E55" s="278">
        <v>1.8799999999999999E-4</v>
      </c>
      <c r="F55" s="278" t="s">
        <v>786</v>
      </c>
      <c r="G55" s="278">
        <v>-2.3099999999999999E-5</v>
      </c>
      <c r="H55" s="278">
        <v>7.3999999999999999E-4</v>
      </c>
      <c r="I55" s="278">
        <v>5.9499999999999998E-6</v>
      </c>
    </row>
    <row r="56" spans="1:9">
      <c r="A56" s="10" t="s">
        <v>587</v>
      </c>
      <c r="B56" s="10" t="s">
        <v>787</v>
      </c>
      <c r="C56" s="278">
        <v>3.1E-2</v>
      </c>
      <c r="D56" s="278">
        <v>3.0800000000000001E-2</v>
      </c>
      <c r="E56" s="278">
        <v>2.4799999999999999E-2</v>
      </c>
      <c r="F56" s="278" t="s">
        <v>788</v>
      </c>
      <c r="G56" s="278">
        <v>-1.6899999999999998E-2</v>
      </c>
      <c r="H56" s="278">
        <v>8.14E-2</v>
      </c>
      <c r="I56" s="278">
        <v>7.85E-4</v>
      </c>
    </row>
    <row r="57" spans="1:9">
      <c r="A57" s="10" t="s">
        <v>588</v>
      </c>
      <c r="B57" s="10" t="s">
        <v>789</v>
      </c>
      <c r="C57" s="278">
        <v>0.71699999999999997</v>
      </c>
      <c r="D57" s="278">
        <v>0.67500000000000004</v>
      </c>
      <c r="E57" s="278">
        <v>2.87</v>
      </c>
      <c r="F57" s="278" t="s">
        <v>790</v>
      </c>
      <c r="G57" s="278">
        <v>-4.7300000000000004</v>
      </c>
      <c r="H57" s="278">
        <v>6.48</v>
      </c>
      <c r="I57" s="278">
        <v>9.0700000000000003E-2</v>
      </c>
    </row>
    <row r="58" spans="1:9">
      <c r="A58" s="10" t="s">
        <v>591</v>
      </c>
      <c r="B58" s="10" t="s">
        <v>791</v>
      </c>
      <c r="C58" s="278">
        <v>9.8400000000000007E-6</v>
      </c>
      <c r="D58" s="278">
        <v>8.9500000000000007E-6</v>
      </c>
      <c r="E58" s="278">
        <v>5.4500000000000003E-6</v>
      </c>
      <c r="F58" s="278" t="s">
        <v>792</v>
      </c>
      <c r="G58" s="278">
        <v>1.8500000000000001E-6</v>
      </c>
      <c r="H58" s="278">
        <v>2.2799999999999999E-5</v>
      </c>
      <c r="I58" s="278">
        <v>1.72E-7</v>
      </c>
    </row>
    <row r="59" spans="1:9">
      <c r="A59" s="10" t="s">
        <v>590</v>
      </c>
      <c r="B59" s="10" t="s">
        <v>793</v>
      </c>
      <c r="C59" s="278">
        <v>3.6299999999999999E-4</v>
      </c>
      <c r="D59" s="278">
        <v>2.9999999999999997E-4</v>
      </c>
      <c r="E59" s="278">
        <v>3.6099999999999999E-4</v>
      </c>
      <c r="F59" s="278" t="s">
        <v>794</v>
      </c>
      <c r="G59" s="278">
        <v>-1.45E-4</v>
      </c>
      <c r="H59" s="278">
        <v>1.2800000000000001E-3</v>
      </c>
      <c r="I59" s="278">
        <v>1.1399999999999999E-5</v>
      </c>
    </row>
    <row r="60" spans="1:9">
      <c r="A60" s="10" t="s">
        <v>592</v>
      </c>
      <c r="B60" s="10" t="s">
        <v>795</v>
      </c>
      <c r="C60" s="278">
        <v>1.23E-3</v>
      </c>
      <c r="D60" s="278">
        <v>1.1900000000000001E-3</v>
      </c>
      <c r="E60" s="278">
        <v>8.12E-4</v>
      </c>
      <c r="F60" s="278" t="s">
        <v>796</v>
      </c>
      <c r="G60" s="278">
        <v>-3.9300000000000001E-4</v>
      </c>
      <c r="H60" s="278">
        <v>2.96E-3</v>
      </c>
      <c r="I60" s="278">
        <v>2.5700000000000001E-5</v>
      </c>
    </row>
    <row r="61" spans="1:9">
      <c r="A61" s="10" t="s">
        <v>593</v>
      </c>
      <c r="B61" s="10" t="s">
        <v>797</v>
      </c>
      <c r="C61" s="278">
        <v>8.0799999999999995E-12</v>
      </c>
      <c r="D61" s="278">
        <v>4.46E-12</v>
      </c>
      <c r="E61" s="278">
        <v>3.1899999999999998E-10</v>
      </c>
      <c r="F61" s="278" t="s">
        <v>798</v>
      </c>
      <c r="G61" s="278">
        <v>-6.3499999999999998E-10</v>
      </c>
      <c r="H61" s="278">
        <v>7.0500000000000005E-10</v>
      </c>
      <c r="I61" s="278">
        <v>1.0099999999999999E-11</v>
      </c>
    </row>
    <row r="62" spans="1:9">
      <c r="A62" s="10" t="s">
        <v>594</v>
      </c>
      <c r="B62" s="10" t="s">
        <v>799</v>
      </c>
      <c r="C62" s="278">
        <v>1.35E-8</v>
      </c>
      <c r="D62" s="278">
        <v>1.28E-8</v>
      </c>
      <c r="E62" s="278">
        <v>7.4600000000000006E-8</v>
      </c>
      <c r="F62" s="278" t="s">
        <v>800</v>
      </c>
      <c r="G62" s="278">
        <v>-1.36E-7</v>
      </c>
      <c r="H62" s="278">
        <v>1.7700000000000001E-7</v>
      </c>
      <c r="I62" s="278">
        <v>2.3600000000000001E-9</v>
      </c>
    </row>
    <row r="63" spans="1:9">
      <c r="A63" s="10" t="s">
        <v>595</v>
      </c>
      <c r="B63" s="10" t="s">
        <v>801</v>
      </c>
      <c r="C63" s="278">
        <v>2.1800000000000001E-3</v>
      </c>
      <c r="D63" s="278">
        <v>1.47E-3</v>
      </c>
      <c r="E63" s="278">
        <v>2.2699999999999999E-3</v>
      </c>
      <c r="F63" s="278" t="s">
        <v>802</v>
      </c>
      <c r="G63" s="278">
        <v>6.2E-4</v>
      </c>
      <c r="H63" s="278">
        <v>8.6800000000000002E-3</v>
      </c>
      <c r="I63" s="278">
        <v>7.1799999999999997E-5</v>
      </c>
    </row>
    <row r="64" spans="1:9">
      <c r="A64" s="10" t="s">
        <v>596</v>
      </c>
      <c r="B64" s="10" t="s">
        <v>803</v>
      </c>
      <c r="C64" s="278">
        <v>0.67400000000000004</v>
      </c>
      <c r="D64" s="278">
        <v>0.45600000000000002</v>
      </c>
      <c r="E64" s="278">
        <v>30.6</v>
      </c>
      <c r="F64" s="278" t="s">
        <v>804</v>
      </c>
      <c r="G64" s="278">
        <v>-61.8</v>
      </c>
      <c r="H64" s="278">
        <v>64</v>
      </c>
      <c r="I64" s="278">
        <v>0.96699999999999997</v>
      </c>
    </row>
    <row r="65" spans="1:9">
      <c r="A65" s="10" t="s">
        <v>597</v>
      </c>
      <c r="B65" s="10" t="s">
        <v>805</v>
      </c>
      <c r="C65" s="278">
        <v>4.9500000000000005E-10</v>
      </c>
      <c r="D65" s="278">
        <v>4.8599999999999998E-10</v>
      </c>
      <c r="E65" s="278">
        <v>9.9200000000000009E-10</v>
      </c>
      <c r="F65" s="278" t="s">
        <v>806</v>
      </c>
      <c r="G65" s="278">
        <v>-1.62E-9</v>
      </c>
      <c r="H65" s="278">
        <v>2.5300000000000002E-9</v>
      </c>
      <c r="I65" s="278">
        <v>3.1400000000000003E-11</v>
      </c>
    </row>
    <row r="66" spans="1:9">
      <c r="A66" s="10" t="s">
        <v>589</v>
      </c>
      <c r="B66" s="10" t="s">
        <v>794</v>
      </c>
      <c r="C66" s="278">
        <v>3.29E-9</v>
      </c>
      <c r="D66" s="278">
        <v>3.2000000000000001E-9</v>
      </c>
      <c r="E66" s="278">
        <v>1.27E-9</v>
      </c>
      <c r="F66" s="278" t="s">
        <v>807</v>
      </c>
      <c r="G66" s="278">
        <v>1.01E-9</v>
      </c>
      <c r="H66" s="278">
        <v>5.93E-9</v>
      </c>
      <c r="I66" s="278">
        <v>4.0100000000000002E-11</v>
      </c>
    </row>
    <row r="67" spans="1:9">
      <c r="A67" s="10" t="s">
        <v>598</v>
      </c>
      <c r="B67" s="10" t="s">
        <v>808</v>
      </c>
      <c r="C67" s="278">
        <v>1.3799999999999999E-4</v>
      </c>
      <c r="D67" s="278">
        <v>1.34E-4</v>
      </c>
      <c r="E67" s="278">
        <v>2.0599999999999999E-4</v>
      </c>
      <c r="F67" s="278" t="s">
        <v>809</v>
      </c>
      <c r="G67" s="278">
        <v>-2.8299999999999999E-4</v>
      </c>
      <c r="H67" s="278">
        <v>5.6700000000000001E-4</v>
      </c>
      <c r="I67" s="278">
        <v>6.5100000000000004E-6</v>
      </c>
    </row>
    <row r="68" spans="1:9">
      <c r="A68" s="10" t="s">
        <v>599</v>
      </c>
      <c r="B68" s="10" t="s">
        <v>810</v>
      </c>
      <c r="C68" s="278">
        <v>0.44900000000000001</v>
      </c>
      <c r="D68" s="278">
        <v>0.44700000000000001</v>
      </c>
      <c r="E68" s="278">
        <v>0.29699999999999999</v>
      </c>
      <c r="F68" s="278" t="s">
        <v>811</v>
      </c>
      <c r="G68" s="278">
        <v>-0.12</v>
      </c>
      <c r="H68" s="278">
        <v>1.06</v>
      </c>
      <c r="I68" s="278">
        <v>9.3900000000000008E-3</v>
      </c>
    </row>
    <row r="69" spans="1:9">
      <c r="A69" s="10" t="s">
        <v>600</v>
      </c>
      <c r="B69" s="10" t="s">
        <v>812</v>
      </c>
      <c r="C69" s="278">
        <v>3.7899999999999999E-7</v>
      </c>
      <c r="D69" s="278">
        <v>3.65E-7</v>
      </c>
      <c r="E69" s="278">
        <v>1.8799999999999999E-7</v>
      </c>
      <c r="F69" s="278" t="s">
        <v>813</v>
      </c>
      <c r="G69" s="278">
        <v>5.7800000000000001E-8</v>
      </c>
      <c r="H69" s="278">
        <v>7.8100000000000002E-7</v>
      </c>
      <c r="I69" s="278">
        <v>5.9399999999999998E-9</v>
      </c>
    </row>
    <row r="70" spans="1:9">
      <c r="A70" s="10" t="s">
        <v>601</v>
      </c>
      <c r="B70" s="10" t="s">
        <v>814</v>
      </c>
      <c r="C70" s="278">
        <v>1.08</v>
      </c>
      <c r="D70" s="278">
        <v>1.17</v>
      </c>
      <c r="E70" s="278">
        <v>1.4</v>
      </c>
      <c r="F70" s="278" t="s">
        <v>815</v>
      </c>
      <c r="G70" s="278">
        <v>-1.94</v>
      </c>
      <c r="H70" s="278">
        <v>3.59</v>
      </c>
      <c r="I70" s="278">
        <v>4.4200000000000003E-2</v>
      </c>
    </row>
    <row r="71" spans="1:9">
      <c r="F71" s="10"/>
      <c r="G71" s="10"/>
      <c r="H71" s="10"/>
      <c r="I71" s="10"/>
    </row>
    <row r="72" spans="1:9">
      <c r="F72" s="10"/>
      <c r="G72" s="10"/>
      <c r="H72" s="10"/>
      <c r="I72" s="10"/>
    </row>
    <row r="73" spans="1:9">
      <c r="A73" s="10" t="s">
        <v>773</v>
      </c>
      <c r="B73" s="10" t="s">
        <v>816</v>
      </c>
      <c r="F73" s="10"/>
      <c r="G73" s="10"/>
      <c r="H73" s="10"/>
      <c r="I73" s="10"/>
    </row>
    <row r="74" spans="1:9">
      <c r="A74" s="10" t="s">
        <v>775</v>
      </c>
      <c r="B74" s="10" t="s">
        <v>776</v>
      </c>
      <c r="F74" s="10"/>
      <c r="G74" s="10"/>
      <c r="H74" s="10"/>
      <c r="I74" s="10"/>
    </row>
    <row r="75" spans="1:9">
      <c r="A75" s="10" t="s">
        <v>633</v>
      </c>
      <c r="B75" s="10" t="s">
        <v>777</v>
      </c>
      <c r="C75" s="10" t="s">
        <v>778</v>
      </c>
      <c r="D75" s="10" t="s">
        <v>779</v>
      </c>
      <c r="E75" s="10" t="s">
        <v>780</v>
      </c>
      <c r="F75" s="10" t="s">
        <v>781</v>
      </c>
      <c r="G75" s="10" t="s">
        <v>782</v>
      </c>
      <c r="H75" s="10" t="s">
        <v>783</v>
      </c>
      <c r="I75" s="10" t="s">
        <v>784</v>
      </c>
    </row>
    <row r="76" spans="1:9">
      <c r="A76" s="10" t="s">
        <v>586</v>
      </c>
      <c r="B76" s="10" t="s">
        <v>817</v>
      </c>
      <c r="C76" s="278">
        <v>3.3399999999999999E-4</v>
      </c>
      <c r="D76" s="278">
        <v>3.39E-4</v>
      </c>
      <c r="E76" s="278">
        <v>1.83E-4</v>
      </c>
      <c r="F76" s="278" t="s">
        <v>786</v>
      </c>
      <c r="G76" s="278">
        <v>-5.6199999999999997E-5</v>
      </c>
      <c r="H76" s="278">
        <v>6.8999999999999997E-4</v>
      </c>
      <c r="I76" s="278">
        <v>5.7899999999999996E-6</v>
      </c>
    </row>
    <row r="77" spans="1:9">
      <c r="A77" s="10" t="s">
        <v>587</v>
      </c>
      <c r="B77" s="10" t="s">
        <v>818</v>
      </c>
      <c r="C77" s="278">
        <v>3.09E-2</v>
      </c>
      <c r="D77" s="278">
        <v>3.1E-2</v>
      </c>
      <c r="E77" s="278">
        <v>2.4199999999999999E-2</v>
      </c>
      <c r="F77" s="278" t="s">
        <v>819</v>
      </c>
      <c r="G77" s="278">
        <v>-1.84E-2</v>
      </c>
      <c r="H77" s="278">
        <v>8.0299999999999996E-2</v>
      </c>
      <c r="I77" s="278">
        <v>7.6400000000000003E-4</v>
      </c>
    </row>
    <row r="78" spans="1:9">
      <c r="A78" s="10" t="s">
        <v>588</v>
      </c>
      <c r="B78" s="10" t="s">
        <v>820</v>
      </c>
      <c r="C78" s="278">
        <v>0.35499999999999998</v>
      </c>
      <c r="D78" s="278">
        <v>0.44</v>
      </c>
      <c r="E78" s="278">
        <v>2.75</v>
      </c>
      <c r="F78" s="278" t="s">
        <v>821</v>
      </c>
      <c r="G78" s="278">
        <v>-5.24</v>
      </c>
      <c r="H78" s="278">
        <v>5.84</v>
      </c>
      <c r="I78" s="278">
        <v>8.6900000000000005E-2</v>
      </c>
    </row>
    <row r="79" spans="1:9">
      <c r="A79" s="10" t="s">
        <v>591</v>
      </c>
      <c r="B79" s="10" t="s">
        <v>794</v>
      </c>
      <c r="C79" s="278">
        <v>9.7899999999999994E-6</v>
      </c>
      <c r="D79" s="278">
        <v>8.9199999999999993E-6</v>
      </c>
      <c r="E79" s="278">
        <v>5.57E-6</v>
      </c>
      <c r="F79" s="278" t="s">
        <v>822</v>
      </c>
      <c r="G79" s="278">
        <v>1.5999999999999999E-6</v>
      </c>
      <c r="H79" s="278">
        <v>2.2399999999999999E-5</v>
      </c>
      <c r="I79" s="278">
        <v>1.7599999999999999E-7</v>
      </c>
    </row>
    <row r="80" spans="1:9">
      <c r="A80" s="10" t="s">
        <v>590</v>
      </c>
      <c r="B80" s="10" t="s">
        <v>823</v>
      </c>
      <c r="C80" s="278">
        <v>3.3799999999999998E-4</v>
      </c>
      <c r="D80" s="278">
        <v>2.8499999999999999E-4</v>
      </c>
      <c r="E80" s="278">
        <v>3.5E-4</v>
      </c>
      <c r="F80" s="278" t="s">
        <v>824</v>
      </c>
      <c r="G80" s="278">
        <v>-1.5699999999999999E-4</v>
      </c>
      <c r="H80" s="278">
        <v>1.1800000000000001E-3</v>
      </c>
      <c r="I80" s="278">
        <v>1.11E-5</v>
      </c>
    </row>
    <row r="81" spans="1:9">
      <c r="A81" s="10" t="s">
        <v>592</v>
      </c>
      <c r="B81" s="10" t="s">
        <v>825</v>
      </c>
      <c r="C81" s="278">
        <v>1.1900000000000001E-3</v>
      </c>
      <c r="D81" s="278">
        <v>1.2099999999999999E-3</v>
      </c>
      <c r="E81" s="278">
        <v>7.9799999999999999E-4</v>
      </c>
      <c r="F81" s="278" t="s">
        <v>826</v>
      </c>
      <c r="G81" s="278">
        <v>-5.6099999999999998E-4</v>
      </c>
      <c r="H81" s="278">
        <v>2.7699999999999999E-3</v>
      </c>
      <c r="I81" s="278">
        <v>2.5199999999999999E-5</v>
      </c>
    </row>
    <row r="82" spans="1:9">
      <c r="A82" s="10" t="s">
        <v>593</v>
      </c>
      <c r="B82" s="10" t="s">
        <v>827</v>
      </c>
      <c r="C82" s="278">
        <v>1.66E-12</v>
      </c>
      <c r="D82" s="278">
        <v>-5.3300000000000001E-12</v>
      </c>
      <c r="E82" s="278">
        <v>3.1699999999999999E-10</v>
      </c>
      <c r="F82" s="278" t="s">
        <v>828</v>
      </c>
      <c r="G82" s="278">
        <v>-6.6E-10</v>
      </c>
      <c r="H82" s="278">
        <v>6.3399999999999998E-10</v>
      </c>
      <c r="I82" s="278">
        <v>9.9999999999999994E-12</v>
      </c>
    </row>
    <row r="83" spans="1:9">
      <c r="A83" s="10" t="s">
        <v>594</v>
      </c>
      <c r="B83" s="10" t="s">
        <v>829</v>
      </c>
      <c r="C83" s="278">
        <v>-4.6900000000000003E-10</v>
      </c>
      <c r="D83" s="278">
        <v>5.5500000000000005E-10</v>
      </c>
      <c r="E83" s="278">
        <v>7.4900000000000002E-8</v>
      </c>
      <c r="F83" s="278" t="s">
        <v>830</v>
      </c>
      <c r="G83" s="278">
        <v>-1.68E-7</v>
      </c>
      <c r="H83" s="278">
        <v>1.4600000000000001E-7</v>
      </c>
      <c r="I83" s="278">
        <v>2.3699999999999999E-9</v>
      </c>
    </row>
    <row r="84" spans="1:9">
      <c r="A84" s="10" t="s">
        <v>595</v>
      </c>
      <c r="B84" s="10" t="s">
        <v>801</v>
      </c>
      <c r="C84" s="278">
        <v>2.2799999999999999E-3</v>
      </c>
      <c r="D84" s="278">
        <v>1.57E-3</v>
      </c>
      <c r="E84" s="278">
        <v>2.2599999999999999E-3</v>
      </c>
      <c r="F84" s="278" t="s">
        <v>791</v>
      </c>
      <c r="G84" s="278">
        <v>6.8599999999999998E-4</v>
      </c>
      <c r="H84" s="278">
        <v>8.3300000000000006E-3</v>
      </c>
      <c r="I84" s="278">
        <v>7.1600000000000006E-5</v>
      </c>
    </row>
    <row r="85" spans="1:9">
      <c r="A85" s="10" t="s">
        <v>596</v>
      </c>
      <c r="B85" s="10" t="s">
        <v>831</v>
      </c>
      <c r="C85" s="278">
        <v>0.93600000000000005</v>
      </c>
      <c r="D85" s="278">
        <v>1.74</v>
      </c>
      <c r="E85" s="278">
        <v>29.5</v>
      </c>
      <c r="F85" s="278" t="s">
        <v>832</v>
      </c>
      <c r="G85" s="278">
        <v>-56.7</v>
      </c>
      <c r="H85" s="278">
        <v>61.1</v>
      </c>
      <c r="I85" s="278">
        <v>0.93400000000000005</v>
      </c>
    </row>
    <row r="86" spans="1:9">
      <c r="A86" s="10" t="s">
        <v>597</v>
      </c>
      <c r="B86" s="10" t="s">
        <v>833</v>
      </c>
      <c r="C86" s="278">
        <v>4.8699999999999997E-10</v>
      </c>
      <c r="D86" s="278">
        <v>4.9399999999999995E-10</v>
      </c>
      <c r="E86" s="278">
        <v>9.4899999999999993E-10</v>
      </c>
      <c r="F86" s="278" t="s">
        <v>834</v>
      </c>
      <c r="G86" s="278">
        <v>-1.4100000000000001E-9</v>
      </c>
      <c r="H86" s="278">
        <v>2.4199999999999999E-9</v>
      </c>
      <c r="I86" s="278">
        <v>3E-11</v>
      </c>
    </row>
    <row r="87" spans="1:9">
      <c r="A87" s="10" t="s">
        <v>589</v>
      </c>
      <c r="B87" s="10" t="s">
        <v>835</v>
      </c>
      <c r="C87" s="278">
        <v>3.2799999999999998E-9</v>
      </c>
      <c r="D87" s="278">
        <v>3.24E-9</v>
      </c>
      <c r="E87" s="278">
        <v>1.2E-9</v>
      </c>
      <c r="F87" s="278" t="s">
        <v>836</v>
      </c>
      <c r="G87" s="278">
        <v>9.6500000000000008E-10</v>
      </c>
      <c r="H87" s="278">
        <v>5.7100000000000003E-9</v>
      </c>
      <c r="I87" s="278">
        <v>3.79E-11</v>
      </c>
    </row>
    <row r="88" spans="1:9">
      <c r="A88" s="10" t="s">
        <v>598</v>
      </c>
      <c r="B88" s="10" t="s">
        <v>808</v>
      </c>
      <c r="C88" s="278">
        <v>1.2799999999999999E-4</v>
      </c>
      <c r="D88" s="278">
        <v>1.37E-4</v>
      </c>
      <c r="E88" s="278">
        <v>2.05E-4</v>
      </c>
      <c r="F88" s="278" t="s">
        <v>837</v>
      </c>
      <c r="G88" s="278">
        <v>-3.4099999999999999E-4</v>
      </c>
      <c r="H88" s="278">
        <v>5.7700000000000004E-4</v>
      </c>
      <c r="I88" s="278">
        <v>6.4799999999999998E-6</v>
      </c>
    </row>
    <row r="89" spans="1:9">
      <c r="A89" s="10" t="s">
        <v>599</v>
      </c>
      <c r="B89" s="10" t="s">
        <v>838</v>
      </c>
      <c r="C89" s="278">
        <v>0.44700000000000001</v>
      </c>
      <c r="D89" s="278">
        <v>0.44800000000000001</v>
      </c>
      <c r="E89" s="278">
        <v>0.28399999999999997</v>
      </c>
      <c r="F89" s="278" t="s">
        <v>839</v>
      </c>
      <c r="G89" s="278">
        <v>-0.13500000000000001</v>
      </c>
      <c r="H89" s="278">
        <v>1.06</v>
      </c>
      <c r="I89" s="278">
        <v>8.9800000000000001E-3</v>
      </c>
    </row>
    <row r="90" spans="1:9">
      <c r="A90" s="10" t="s">
        <v>600</v>
      </c>
      <c r="B90" s="10" t="s">
        <v>840</v>
      </c>
      <c r="C90" s="278">
        <v>3.5999999999999999E-7</v>
      </c>
      <c r="D90" s="278">
        <v>3.5100000000000001E-7</v>
      </c>
      <c r="E90" s="278">
        <v>1.7499999999999999E-7</v>
      </c>
      <c r="F90" s="278" t="s">
        <v>841</v>
      </c>
      <c r="G90" s="278">
        <v>3.5999999999999998E-8</v>
      </c>
      <c r="H90" s="278">
        <v>7.5199999999999996E-7</v>
      </c>
      <c r="I90" s="278">
        <v>5.52E-9</v>
      </c>
    </row>
    <row r="91" spans="1:9">
      <c r="A91" s="10" t="s">
        <v>601</v>
      </c>
      <c r="B91" s="10" t="s">
        <v>842</v>
      </c>
      <c r="C91" s="278">
        <v>1.0900000000000001</v>
      </c>
      <c r="D91" s="278">
        <v>1.21</v>
      </c>
      <c r="E91" s="278">
        <v>1.56</v>
      </c>
      <c r="F91" s="278" t="s">
        <v>843</v>
      </c>
      <c r="G91" s="278">
        <v>-2.4500000000000002</v>
      </c>
      <c r="H91" s="278">
        <v>4.03</v>
      </c>
      <c r="I91" s="278">
        <v>4.9399999999999999E-2</v>
      </c>
    </row>
    <row r="92" spans="1:9">
      <c r="F92" s="10"/>
      <c r="G92" s="10"/>
      <c r="H92" s="10"/>
      <c r="I92" s="10"/>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F437-FDCD-444A-9FB2-B5A929994925}">
  <sheetPr>
    <tabColor theme="5" tint="0.39997558519241921"/>
  </sheetPr>
  <dimension ref="A1:O56"/>
  <sheetViews>
    <sheetView zoomScale="89" workbookViewId="0">
      <selection activeCell="D59" sqref="D59"/>
    </sheetView>
  </sheetViews>
  <sheetFormatPr defaultColWidth="8.85546875" defaultRowHeight="14.1"/>
  <cols>
    <col min="1" max="1" width="14.140625" style="4" customWidth="1"/>
    <col min="2" max="2" width="28.42578125" style="4" customWidth="1"/>
    <col min="3" max="4" width="14" style="4" customWidth="1"/>
    <col min="5" max="5" width="8.28515625" style="4" customWidth="1"/>
    <col min="6" max="6" width="21.7109375" style="4" customWidth="1"/>
    <col min="7" max="7" width="43.5703125" style="4" customWidth="1"/>
    <col min="8" max="9" width="8.85546875" style="4"/>
    <col min="10" max="10" width="12" style="4" customWidth="1"/>
    <col min="11" max="11" width="11.5703125" style="4" bestFit="1" customWidth="1"/>
    <col min="12" max="12" width="17.28515625" style="4" customWidth="1"/>
    <col min="13" max="14" width="8.85546875" style="4"/>
    <col min="15" max="15" width="30.7109375" style="4" customWidth="1"/>
    <col min="16" max="16384" width="8.85546875" style="4"/>
  </cols>
  <sheetData>
    <row r="1" spans="1:7" ht="14.45" customHeight="1">
      <c r="A1" s="8" t="s">
        <v>62</v>
      </c>
      <c r="B1" s="8" t="s">
        <v>63</v>
      </c>
      <c r="C1" s="4">
        <f>0.07*365*20</f>
        <v>511</v>
      </c>
      <c r="D1" s="266">
        <f>0.5/C1</f>
        <v>9.7847358121330719E-4</v>
      </c>
    </row>
    <row r="2" spans="1:7" ht="12" customHeight="1">
      <c r="A2" s="472" t="s">
        <v>64</v>
      </c>
      <c r="B2" s="472"/>
      <c r="C2" s="472"/>
      <c r="D2" s="472"/>
      <c r="E2" s="472"/>
      <c r="F2" s="472"/>
      <c r="G2" s="472"/>
    </row>
    <row r="3" spans="1:7">
      <c r="A3" s="7" t="s">
        <v>65</v>
      </c>
      <c r="B3" s="7" t="s">
        <v>66</v>
      </c>
      <c r="C3" s="7" t="s">
        <v>67</v>
      </c>
      <c r="D3" s="7"/>
      <c r="E3" s="7" t="s">
        <v>68</v>
      </c>
      <c r="F3" s="7" t="s">
        <v>69</v>
      </c>
      <c r="G3" s="7" t="s">
        <v>70</v>
      </c>
    </row>
    <row r="4" spans="1:7" ht="27.95">
      <c r="A4" s="3" t="s">
        <v>71</v>
      </c>
      <c r="B4" s="3" t="s">
        <v>72</v>
      </c>
      <c r="C4" s="6">
        <v>85</v>
      </c>
      <c r="D4" s="262">
        <f>C4/$C$1</f>
        <v>0.16634050880626222</v>
      </c>
      <c r="E4" s="3" t="s">
        <v>73</v>
      </c>
      <c r="F4" s="3" t="s">
        <v>74</v>
      </c>
      <c r="G4" s="3" t="s">
        <v>75</v>
      </c>
    </row>
    <row r="5" spans="1:7" ht="27.95">
      <c r="A5" s="3" t="s">
        <v>76</v>
      </c>
      <c r="B5" s="3" t="s">
        <v>77</v>
      </c>
      <c r="C5" s="3">
        <v>40</v>
      </c>
      <c r="D5" s="263">
        <f>40/22000</f>
        <v>1.8181818181818182E-3</v>
      </c>
      <c r="E5" s="3" t="s">
        <v>78</v>
      </c>
      <c r="F5" s="3" t="s">
        <v>74</v>
      </c>
      <c r="G5" s="3" t="s">
        <v>79</v>
      </c>
    </row>
    <row r="6" spans="1:7">
      <c r="A6" s="3" t="s">
        <v>80</v>
      </c>
      <c r="B6" s="3" t="s">
        <v>81</v>
      </c>
      <c r="C6" s="3">
        <v>1500</v>
      </c>
      <c r="D6" s="263">
        <f>1500/10000</f>
        <v>0.15</v>
      </c>
      <c r="E6" s="3" t="s">
        <v>78</v>
      </c>
      <c r="F6" s="3" t="s">
        <v>74</v>
      </c>
      <c r="G6" s="3" t="s">
        <v>82</v>
      </c>
    </row>
    <row r="7" spans="1:7" ht="27.95">
      <c r="A7" s="3" t="s">
        <v>83</v>
      </c>
      <c r="B7" s="3" t="s">
        <v>84</v>
      </c>
      <c r="C7" s="3">
        <v>9.0399999999999991</v>
      </c>
      <c r="D7" s="262">
        <f>C7/$C$1</f>
        <v>1.7690802348336594E-2</v>
      </c>
      <c r="E7" s="3" t="s">
        <v>73</v>
      </c>
      <c r="F7" s="3" t="s">
        <v>74</v>
      </c>
      <c r="G7" s="3" t="s">
        <v>75</v>
      </c>
    </row>
    <row r="8" spans="1:7" ht="27.95">
      <c r="A8" s="3" t="s">
        <v>85</v>
      </c>
      <c r="B8" s="3" t="s">
        <v>86</v>
      </c>
      <c r="C8" s="3">
        <v>5</v>
      </c>
      <c r="D8" s="263">
        <f>5/22000</f>
        <v>2.2727272727272727E-4</v>
      </c>
      <c r="E8" s="3" t="s">
        <v>78</v>
      </c>
      <c r="F8" s="3" t="s">
        <v>74</v>
      </c>
      <c r="G8" s="3" t="s">
        <v>87</v>
      </c>
    </row>
    <row r="9" spans="1:7" ht="27.95">
      <c r="A9" s="3" t="s">
        <v>88</v>
      </c>
      <c r="B9" s="3" t="s">
        <v>89</v>
      </c>
      <c r="C9" s="3">
        <v>40</v>
      </c>
      <c r="D9" s="263">
        <f>40/22000</f>
        <v>1.8181818181818182E-3</v>
      </c>
      <c r="E9" s="3" t="s">
        <v>78</v>
      </c>
      <c r="F9" s="3" t="s">
        <v>74</v>
      </c>
      <c r="G9" s="3" t="s">
        <v>90</v>
      </c>
    </row>
    <row r="10" spans="1:7" ht="27.95">
      <c r="A10" s="3" t="s">
        <v>91</v>
      </c>
      <c r="B10" s="3" t="s">
        <v>72</v>
      </c>
      <c r="C10" s="3">
        <v>0.15</v>
      </c>
      <c r="D10" s="262">
        <f>C10/$C$1</f>
        <v>2.9354207436399217E-4</v>
      </c>
      <c r="E10" s="3" t="s">
        <v>73</v>
      </c>
      <c r="F10" s="3" t="s">
        <v>74</v>
      </c>
      <c r="G10" s="3" t="s">
        <v>75</v>
      </c>
    </row>
    <row r="11" spans="1:7">
      <c r="A11" s="472" t="s">
        <v>92</v>
      </c>
      <c r="B11" s="472"/>
      <c r="C11" s="472"/>
      <c r="D11" s="472"/>
      <c r="E11" s="472"/>
      <c r="F11" s="472"/>
      <c r="G11" s="472"/>
    </row>
    <row r="12" spans="1:7">
      <c r="A12" s="7" t="s">
        <v>93</v>
      </c>
      <c r="B12" s="7" t="s">
        <v>66</v>
      </c>
      <c r="C12" s="7" t="s">
        <v>67</v>
      </c>
      <c r="D12" s="7"/>
      <c r="E12" s="7" t="s">
        <v>68</v>
      </c>
      <c r="F12" s="7" t="s">
        <v>69</v>
      </c>
      <c r="G12" s="7" t="s">
        <v>70</v>
      </c>
    </row>
    <row r="13" spans="1:7" ht="27.95">
      <c r="A13" s="3" t="s">
        <v>94</v>
      </c>
      <c r="B13" s="3" t="s">
        <v>95</v>
      </c>
      <c r="C13" s="6">
        <v>0.35</v>
      </c>
      <c r="D13" s="262">
        <f>C13/C1</f>
        <v>6.8493150684931507E-4</v>
      </c>
      <c r="E13" s="3" t="s">
        <v>73</v>
      </c>
      <c r="F13" s="3" t="s">
        <v>96</v>
      </c>
      <c r="G13" s="3" t="s">
        <v>97</v>
      </c>
    </row>
    <row r="14" spans="1:7">
      <c r="A14" s="3" t="s">
        <v>94</v>
      </c>
      <c r="B14" s="3" t="s">
        <v>98</v>
      </c>
      <c r="C14" s="3">
        <v>3.12</v>
      </c>
      <c r="D14" s="263">
        <f>(C14*365)/$C$1</f>
        <v>2.2285714285714286</v>
      </c>
      <c r="E14" s="3" t="s">
        <v>99</v>
      </c>
      <c r="F14" s="3" t="s">
        <v>74</v>
      </c>
      <c r="G14" s="3" t="s">
        <v>100</v>
      </c>
    </row>
    <row r="15" spans="1:7" ht="16.149999999999999" customHeight="1">
      <c r="A15" s="3" t="s">
        <v>101</v>
      </c>
      <c r="B15" s="3" t="s">
        <v>102</v>
      </c>
      <c r="C15" s="3">
        <v>1500</v>
      </c>
      <c r="D15" s="263">
        <f>C15/$C$1</f>
        <v>2.9354207436399218</v>
      </c>
      <c r="E15" s="3" t="s">
        <v>78</v>
      </c>
      <c r="F15" s="3" t="s">
        <v>96</v>
      </c>
      <c r="G15" s="3" t="s">
        <v>103</v>
      </c>
    </row>
    <row r="16" spans="1:7">
      <c r="A16" s="3" t="s">
        <v>101</v>
      </c>
      <c r="B16" s="3" t="s">
        <v>104</v>
      </c>
      <c r="C16" s="3">
        <v>45</v>
      </c>
      <c r="D16" s="263">
        <f t="shared" ref="D16:D18" si="0">(C16*365)/$C$1</f>
        <v>32.142857142857146</v>
      </c>
      <c r="E16" s="3" t="s">
        <v>105</v>
      </c>
      <c r="F16" s="3" t="s">
        <v>74</v>
      </c>
      <c r="G16" s="3" t="s">
        <v>106</v>
      </c>
    </row>
    <row r="17" spans="1:7" ht="16.149999999999999" customHeight="1">
      <c r="A17" s="3" t="s">
        <v>101</v>
      </c>
      <c r="B17" s="3" t="s">
        <v>107</v>
      </c>
      <c r="C17" s="3">
        <v>0.16</v>
      </c>
      <c r="D17" s="263">
        <f t="shared" si="0"/>
        <v>0.11428571428571428</v>
      </c>
      <c r="E17" s="3" t="s">
        <v>108</v>
      </c>
      <c r="F17" s="3" t="s">
        <v>74</v>
      </c>
      <c r="G17" s="3"/>
    </row>
    <row r="18" spans="1:7">
      <c r="A18" s="3" t="s">
        <v>101</v>
      </c>
      <c r="B18" s="3" t="s">
        <v>109</v>
      </c>
      <c r="C18" s="3">
        <v>0.64</v>
      </c>
      <c r="D18" s="263">
        <f t="shared" si="0"/>
        <v>0.45714285714285713</v>
      </c>
      <c r="E18" s="3" t="s">
        <v>110</v>
      </c>
      <c r="F18" s="3" t="s">
        <v>74</v>
      </c>
      <c r="G18" s="3" t="s">
        <v>111</v>
      </c>
    </row>
    <row r="19" spans="1:7">
      <c r="A19" s="3" t="s">
        <v>101</v>
      </c>
      <c r="B19" s="3" t="s">
        <v>112</v>
      </c>
      <c r="C19" s="3">
        <v>7.0000000000000007E-2</v>
      </c>
      <c r="D19" s="29"/>
      <c r="E19" s="3" t="s">
        <v>113</v>
      </c>
      <c r="F19" s="3" t="s">
        <v>74</v>
      </c>
      <c r="G19" s="3" t="s">
        <v>114</v>
      </c>
    </row>
    <row r="20" spans="1:7">
      <c r="A20" s="472" t="s">
        <v>115</v>
      </c>
      <c r="B20" s="472"/>
      <c r="C20" s="472"/>
      <c r="D20" s="472"/>
      <c r="E20" s="472"/>
      <c r="F20" s="472"/>
      <c r="G20" s="472"/>
    </row>
    <row r="21" spans="1:7">
      <c r="A21" s="7" t="s">
        <v>93</v>
      </c>
      <c r="B21" s="7" t="s">
        <v>66</v>
      </c>
      <c r="C21" s="7" t="s">
        <v>67</v>
      </c>
      <c r="D21" s="7"/>
      <c r="E21" s="7" t="s">
        <v>68</v>
      </c>
      <c r="F21" s="7" t="s">
        <v>69</v>
      </c>
      <c r="G21" s="7" t="s">
        <v>70</v>
      </c>
    </row>
    <row r="22" spans="1:7" ht="27.95">
      <c r="A22" s="3" t="s">
        <v>116</v>
      </c>
      <c r="B22" s="3" t="s">
        <v>117</v>
      </c>
      <c r="C22" s="6">
        <f>85+9.04</f>
        <v>94.039999999999992</v>
      </c>
      <c r="D22" s="262">
        <f>C22/C1</f>
        <v>0.18403131115459881</v>
      </c>
      <c r="E22" s="3" t="s">
        <v>73</v>
      </c>
      <c r="F22" s="3" t="s">
        <v>96</v>
      </c>
      <c r="G22" s="3" t="s">
        <v>118</v>
      </c>
    </row>
    <row r="23" spans="1:7">
      <c r="C23" s="4">
        <f>C22</f>
        <v>94.039999999999992</v>
      </c>
    </row>
    <row r="24" spans="1:7">
      <c r="A24" s="5" t="s">
        <v>119</v>
      </c>
      <c r="B24" s="5" t="s">
        <v>120</v>
      </c>
      <c r="D24" s="4">
        <f>800*20*365</f>
        <v>5840000</v>
      </c>
    </row>
    <row r="26" spans="1:7">
      <c r="A26" s="472" t="s">
        <v>64</v>
      </c>
      <c r="B26" s="472"/>
      <c r="C26" s="472"/>
      <c r="D26" s="472"/>
      <c r="E26" s="472"/>
      <c r="F26" s="472"/>
      <c r="G26" s="472"/>
    </row>
    <row r="27" spans="1:7">
      <c r="A27" s="7" t="s">
        <v>65</v>
      </c>
      <c r="B27" s="7" t="s">
        <v>66</v>
      </c>
      <c r="C27" s="7" t="s">
        <v>67</v>
      </c>
      <c r="D27" s="7"/>
      <c r="E27" s="7" t="s">
        <v>68</v>
      </c>
      <c r="F27" s="7" t="s">
        <v>69</v>
      </c>
      <c r="G27" s="7" t="s">
        <v>70</v>
      </c>
    </row>
    <row r="28" spans="1:7" ht="27.95">
      <c r="A28" s="3" t="s">
        <v>71</v>
      </c>
      <c r="B28" s="3" t="s">
        <v>121</v>
      </c>
      <c r="C28" s="6">
        <v>688</v>
      </c>
      <c r="D28" s="262">
        <f>C28/$D$24</f>
        <v>1.1780821917808219E-4</v>
      </c>
      <c r="E28" s="3" t="s">
        <v>73</v>
      </c>
      <c r="F28" s="3" t="s">
        <v>122</v>
      </c>
      <c r="G28" s="3" t="s">
        <v>123</v>
      </c>
    </row>
    <row r="29" spans="1:7" ht="27.95">
      <c r="A29" s="3" t="s">
        <v>76</v>
      </c>
      <c r="B29" s="3" t="s">
        <v>77</v>
      </c>
      <c r="C29" s="3">
        <v>0.75</v>
      </c>
      <c r="D29" s="263">
        <f>0.75/22</f>
        <v>3.4090909090909088E-2</v>
      </c>
      <c r="E29" s="3" t="s">
        <v>124</v>
      </c>
      <c r="F29" s="3" t="s">
        <v>122</v>
      </c>
      <c r="G29" s="3" t="s">
        <v>79</v>
      </c>
    </row>
    <row r="30" spans="1:7">
      <c r="A30" s="3" t="s">
        <v>125</v>
      </c>
      <c r="B30" s="3" t="s">
        <v>126</v>
      </c>
      <c r="C30" s="3">
        <v>6</v>
      </c>
      <c r="D30" s="263">
        <v>1</v>
      </c>
      <c r="E30" s="3" t="s">
        <v>124</v>
      </c>
      <c r="F30" s="3" t="s">
        <v>122</v>
      </c>
      <c r="G30" s="3" t="s">
        <v>127</v>
      </c>
    </row>
    <row r="31" spans="1:7">
      <c r="A31" s="3"/>
      <c r="B31" s="3" t="s">
        <v>128</v>
      </c>
      <c r="C31" s="3">
        <v>0.38</v>
      </c>
      <c r="D31" s="262">
        <f t="shared" ref="D31:D34" si="1">C31/$D$24</f>
        <v>6.5068493150684937E-8</v>
      </c>
      <c r="E31" s="3" t="s">
        <v>73</v>
      </c>
      <c r="F31" s="3" t="s">
        <v>122</v>
      </c>
      <c r="G31" s="3"/>
    </row>
    <row r="32" spans="1:7">
      <c r="A32" s="3"/>
      <c r="B32" s="3" t="s">
        <v>129</v>
      </c>
      <c r="C32" s="3">
        <v>30</v>
      </c>
      <c r="D32" s="262">
        <f t="shared" si="1"/>
        <v>5.1369863013698632E-6</v>
      </c>
      <c r="E32" s="3" t="s">
        <v>73</v>
      </c>
      <c r="F32" s="3" t="s">
        <v>122</v>
      </c>
      <c r="G32" s="3"/>
    </row>
    <row r="33" spans="1:15">
      <c r="A33" s="3"/>
      <c r="B33" s="3" t="s">
        <v>130</v>
      </c>
      <c r="C33" s="3">
        <v>50</v>
      </c>
      <c r="D33" s="262">
        <f t="shared" si="1"/>
        <v>8.5616438356164377E-6</v>
      </c>
      <c r="E33" s="3" t="s">
        <v>131</v>
      </c>
      <c r="F33" s="3"/>
      <c r="G33" s="3"/>
    </row>
    <row r="34" spans="1:15" ht="27.95">
      <c r="A34" s="3" t="s">
        <v>83</v>
      </c>
      <c r="B34" s="3" t="s">
        <v>132</v>
      </c>
      <c r="C34" s="3">
        <f>9424.17*2</f>
        <v>18848.34</v>
      </c>
      <c r="D34" s="262">
        <f t="shared" si="1"/>
        <v>3.2274554794520546E-3</v>
      </c>
      <c r="E34" s="3" t="s">
        <v>73</v>
      </c>
      <c r="F34" s="3" t="s">
        <v>122</v>
      </c>
      <c r="G34" s="3" t="s">
        <v>133</v>
      </c>
    </row>
    <row r="35" spans="1:15" ht="27.95">
      <c r="A35" s="3" t="s">
        <v>85</v>
      </c>
      <c r="B35" s="3" t="s">
        <v>86</v>
      </c>
      <c r="C35" s="3">
        <v>1.5</v>
      </c>
      <c r="D35" s="263">
        <f>1.5/22</f>
        <v>6.8181818181818177E-2</v>
      </c>
      <c r="E35" s="3" t="s">
        <v>124</v>
      </c>
      <c r="F35" s="3" t="s">
        <v>122</v>
      </c>
      <c r="G35" s="3" t="s">
        <v>87</v>
      </c>
    </row>
    <row r="36" spans="1:15" ht="27.95">
      <c r="A36" s="3" t="s">
        <v>88</v>
      </c>
      <c r="B36" s="3" t="s">
        <v>89</v>
      </c>
      <c r="C36" s="3">
        <v>1.5</v>
      </c>
      <c r="D36" s="263">
        <f>1.5/22</f>
        <v>6.8181818181818177E-2</v>
      </c>
      <c r="E36" s="3" t="s">
        <v>124</v>
      </c>
      <c r="F36" s="3" t="s">
        <v>122</v>
      </c>
      <c r="G36" s="3" t="s">
        <v>90</v>
      </c>
    </row>
    <row r="37" spans="1:15">
      <c r="A37" s="3" t="s">
        <v>134</v>
      </c>
      <c r="B37" s="3" t="s">
        <v>135</v>
      </c>
      <c r="C37" s="3">
        <v>163</v>
      </c>
      <c r="D37" s="262">
        <f t="shared" ref="D37:D38" si="2">C37/$D$24</f>
        <v>2.7910958904109588E-5</v>
      </c>
      <c r="E37" s="3" t="s">
        <v>73</v>
      </c>
      <c r="F37" s="3" t="s">
        <v>122</v>
      </c>
      <c r="G37" s="3"/>
    </row>
    <row r="38" spans="1:15" ht="27.95">
      <c r="A38" s="3" t="s">
        <v>91</v>
      </c>
      <c r="B38" s="3" t="s">
        <v>121</v>
      </c>
      <c r="C38" s="3">
        <v>320</v>
      </c>
      <c r="D38" s="262">
        <f t="shared" si="2"/>
        <v>5.4794520547945207E-5</v>
      </c>
      <c r="E38" s="3" t="s">
        <v>73</v>
      </c>
      <c r="F38" s="3" t="s">
        <v>122</v>
      </c>
      <c r="G38" s="3" t="s">
        <v>123</v>
      </c>
    </row>
    <row r="39" spans="1:15">
      <c r="A39" s="2"/>
    </row>
    <row r="40" spans="1:15">
      <c r="A40" s="472" t="s">
        <v>92</v>
      </c>
      <c r="B40" s="472"/>
      <c r="C40" s="472"/>
      <c r="D40" s="472"/>
      <c r="E40" s="472"/>
      <c r="F40" s="472"/>
      <c r="G40" s="472"/>
    </row>
    <row r="41" spans="1:15">
      <c r="A41" s="7" t="s">
        <v>93</v>
      </c>
      <c r="B41" s="7" t="s">
        <v>66</v>
      </c>
      <c r="C41" s="7" t="s">
        <v>67</v>
      </c>
      <c r="D41" s="7"/>
      <c r="E41" s="7" t="s">
        <v>68</v>
      </c>
      <c r="F41" s="7" t="s">
        <v>69</v>
      </c>
      <c r="G41" s="7" t="s">
        <v>70</v>
      </c>
    </row>
    <row r="42" spans="1:15">
      <c r="A42" s="3" t="s">
        <v>94</v>
      </c>
      <c r="B42" s="3" t="s">
        <v>95</v>
      </c>
      <c r="C42" s="6">
        <f>400*4</f>
        <v>1600</v>
      </c>
      <c r="D42" s="262">
        <f>C42/D24</f>
        <v>2.7397260273972601E-4</v>
      </c>
      <c r="E42" s="3" t="s">
        <v>73</v>
      </c>
      <c r="F42" s="3" t="s">
        <v>122</v>
      </c>
      <c r="G42" s="3" t="s">
        <v>136</v>
      </c>
    </row>
    <row r="43" spans="1:15">
      <c r="A43" s="3" t="s">
        <v>94</v>
      </c>
      <c r="B43" s="3" t="s">
        <v>98</v>
      </c>
      <c r="C43" s="3">
        <v>926.19</v>
      </c>
      <c r="D43" s="263">
        <f>(C43*20)/$D$24</f>
        <v>3.1718835616438359E-3</v>
      </c>
      <c r="E43" s="3" t="s">
        <v>99</v>
      </c>
      <c r="F43" s="3" t="s">
        <v>122</v>
      </c>
      <c r="G43" s="3" t="s">
        <v>100</v>
      </c>
    </row>
    <row r="44" spans="1:15" ht="11.45" customHeight="1">
      <c r="A44" s="3" t="s">
        <v>101</v>
      </c>
      <c r="B44" s="3" t="s">
        <v>102</v>
      </c>
      <c r="C44" s="3">
        <f>400*2</f>
        <v>800</v>
      </c>
      <c r="D44" s="263">
        <f t="shared" ref="D44:D47" si="3">(C44*20)/$D$24</f>
        <v>2.7397260273972603E-3</v>
      </c>
      <c r="E44" s="3" t="s">
        <v>105</v>
      </c>
      <c r="F44" s="3" t="s">
        <v>122</v>
      </c>
      <c r="G44" s="3" t="s">
        <v>137</v>
      </c>
      <c r="J44" s="3"/>
      <c r="K44" s="7" t="s">
        <v>138</v>
      </c>
      <c r="L44" s="7" t="s">
        <v>139</v>
      </c>
      <c r="M44" s="7" t="s">
        <v>140</v>
      </c>
      <c r="N44" s="7" t="s">
        <v>68</v>
      </c>
      <c r="O44" s="7" t="s">
        <v>69</v>
      </c>
    </row>
    <row r="45" spans="1:15">
      <c r="A45" s="3" t="s">
        <v>101</v>
      </c>
      <c r="B45" s="3" t="s">
        <v>104</v>
      </c>
      <c r="C45" s="3">
        <f>20*365</f>
        <v>7300</v>
      </c>
      <c r="D45" s="263">
        <f t="shared" si="3"/>
        <v>2.5000000000000001E-2</v>
      </c>
      <c r="E45" s="3" t="s">
        <v>105</v>
      </c>
      <c r="F45" s="3" t="s">
        <v>122</v>
      </c>
      <c r="G45" s="3" t="s">
        <v>106</v>
      </c>
      <c r="J45" s="260" t="s">
        <v>141</v>
      </c>
      <c r="K45" s="258">
        <f>(L45*100)/L47</f>
        <v>96.180746770170416</v>
      </c>
      <c r="L45" s="29">
        <f>(C48*365*20)*M45</f>
        <v>4853292.6208651401</v>
      </c>
      <c r="M45" s="29">
        <v>230</v>
      </c>
      <c r="N45" s="29" t="s">
        <v>142</v>
      </c>
      <c r="O45" s="3"/>
    </row>
    <row r="46" spans="1:15" ht="19.899999999999999" customHeight="1">
      <c r="A46" s="3" t="s">
        <v>101</v>
      </c>
      <c r="B46" s="3" t="s">
        <v>107</v>
      </c>
      <c r="C46" s="3">
        <v>192</v>
      </c>
      <c r="D46" s="263">
        <f t="shared" si="3"/>
        <v>6.5753424657534248E-4</v>
      </c>
      <c r="E46" s="3" t="s">
        <v>113</v>
      </c>
      <c r="F46" s="3" t="s">
        <v>122</v>
      </c>
      <c r="G46" s="3"/>
      <c r="J46" s="260" t="s">
        <v>143</v>
      </c>
      <c r="K46" s="258">
        <f>(L46*100)/L47</f>
        <v>3.8192532298295778</v>
      </c>
      <c r="L46" s="29">
        <f>(C49*365*20)*M46</f>
        <v>192720</v>
      </c>
      <c r="M46" s="29">
        <v>3.3000000000000002E-2</v>
      </c>
      <c r="N46" s="29" t="s">
        <v>144</v>
      </c>
      <c r="O46" s="259" t="s">
        <v>145</v>
      </c>
    </row>
    <row r="47" spans="1:15">
      <c r="A47" s="3" t="s">
        <v>101</v>
      </c>
      <c r="B47" s="3" t="s">
        <v>109</v>
      </c>
      <c r="C47" s="3">
        <v>113.6</v>
      </c>
      <c r="D47" s="263">
        <f t="shared" si="3"/>
        <v>3.8904109589041097E-4</v>
      </c>
      <c r="E47" s="3" t="s">
        <v>113</v>
      </c>
      <c r="F47" s="3" t="s">
        <v>122</v>
      </c>
      <c r="G47" s="3" t="s">
        <v>146</v>
      </c>
      <c r="J47" s="260" t="s">
        <v>147</v>
      </c>
      <c r="K47" s="258">
        <f>K45+K46</f>
        <v>100</v>
      </c>
      <c r="L47" s="29">
        <f>L45+L46</f>
        <v>5046012.6208651401</v>
      </c>
      <c r="M47" s="29"/>
      <c r="N47" s="29"/>
      <c r="O47" s="3"/>
    </row>
    <row r="48" spans="1:15">
      <c r="A48" s="3" t="s">
        <v>101</v>
      </c>
      <c r="B48" s="3" t="s">
        <v>109</v>
      </c>
      <c r="C48" s="29">
        <f>C47/39.3</f>
        <v>2.89058524173028</v>
      </c>
      <c r="D48" s="29"/>
      <c r="E48" s="3" t="s">
        <v>148</v>
      </c>
      <c r="F48" s="3"/>
      <c r="G48" s="3"/>
    </row>
    <row r="49" spans="1:7">
      <c r="A49" s="3" t="s">
        <v>101</v>
      </c>
      <c r="B49" s="3" t="s">
        <v>112</v>
      </c>
      <c r="C49" s="3">
        <v>800</v>
      </c>
      <c r="D49" s="3"/>
      <c r="E49" s="3" t="s">
        <v>113</v>
      </c>
      <c r="F49" s="3" t="s">
        <v>122</v>
      </c>
      <c r="G49" s="3" t="s">
        <v>149</v>
      </c>
    </row>
    <row r="52" spans="1:7">
      <c r="A52" s="472" t="s">
        <v>115</v>
      </c>
      <c r="B52" s="472"/>
      <c r="C52" s="472"/>
      <c r="D52" s="472"/>
      <c r="E52" s="472"/>
      <c r="F52" s="472"/>
      <c r="G52" s="472"/>
    </row>
    <row r="53" spans="1:7">
      <c r="A53" s="7" t="s">
        <v>93</v>
      </c>
      <c r="B53" s="7" t="s">
        <v>66</v>
      </c>
      <c r="C53" s="7" t="s">
        <v>67</v>
      </c>
      <c r="D53" s="7"/>
      <c r="E53" s="7" t="s">
        <v>68</v>
      </c>
      <c r="F53" s="7" t="s">
        <v>69</v>
      </c>
      <c r="G53" s="7" t="s">
        <v>70</v>
      </c>
    </row>
    <row r="54" spans="1:7" ht="27.95">
      <c r="A54" s="3" t="s">
        <v>116</v>
      </c>
      <c r="B54" s="3" t="s">
        <v>117</v>
      </c>
      <c r="C54" s="6">
        <f>C28+C38+C37</f>
        <v>1171</v>
      </c>
      <c r="D54" s="262">
        <f>C54/D24</f>
        <v>2.0051369863013699E-4</v>
      </c>
      <c r="E54" s="3" t="s">
        <v>73</v>
      </c>
      <c r="F54" s="3" t="s">
        <v>96</v>
      </c>
      <c r="G54" s="3" t="s">
        <v>118</v>
      </c>
    </row>
    <row r="55" spans="1:7">
      <c r="B55" s="4" t="s">
        <v>150</v>
      </c>
      <c r="C55" s="4">
        <f>C34+C31+C32</f>
        <v>18878.72</v>
      </c>
    </row>
    <row r="56" spans="1:7">
      <c r="C56" s="4">
        <f>C54+C55</f>
        <v>20049.72</v>
      </c>
    </row>
  </sheetData>
  <mergeCells count="6">
    <mergeCell ref="A52:G52"/>
    <mergeCell ref="A2:G2"/>
    <mergeCell ref="A11:G11"/>
    <mergeCell ref="A20:G20"/>
    <mergeCell ref="A26:G26"/>
    <mergeCell ref="A40:G40"/>
  </mergeCells>
  <phoneticPr fontId="1" type="noConversion"/>
  <hyperlinks>
    <hyperlink ref="O46" r:id="rId1" xr:uid="{117A1B16-9EF8-4AB9-90D5-54E9FA69641D}"/>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DD81E-433E-455E-BD78-7BA54DB401D9}">
  <sheetPr>
    <tabColor theme="5" tint="0.39997558519241921"/>
  </sheetPr>
  <dimension ref="A1:G34"/>
  <sheetViews>
    <sheetView topLeftCell="A13" zoomScale="89" workbookViewId="0">
      <selection activeCell="C27" sqref="C27"/>
    </sheetView>
  </sheetViews>
  <sheetFormatPr defaultColWidth="8.85546875" defaultRowHeight="14.1"/>
  <cols>
    <col min="1" max="1" width="14.140625" style="4" customWidth="1"/>
    <col min="2" max="2" width="28.42578125" style="4" customWidth="1"/>
    <col min="3" max="4" width="14" style="4" customWidth="1"/>
    <col min="5" max="5" width="8.28515625" style="4" customWidth="1"/>
    <col min="6" max="6" width="21.7109375" style="4" customWidth="1"/>
    <col min="7" max="7" width="43.5703125" style="4" customWidth="1"/>
    <col min="8" max="16384" width="8.85546875" style="4"/>
  </cols>
  <sheetData>
    <row r="1" spans="1:7" ht="14.45" customHeight="1">
      <c r="A1" s="8" t="s">
        <v>62</v>
      </c>
      <c r="B1" s="8" t="s">
        <v>151</v>
      </c>
      <c r="C1" s="8">
        <f>0.07*365*20</f>
        <v>511</v>
      </c>
      <c r="D1" s="8" t="s">
        <v>152</v>
      </c>
    </row>
    <row r="2" spans="1:7" ht="12" customHeight="1">
      <c r="A2" s="472" t="s">
        <v>153</v>
      </c>
      <c r="B2" s="472"/>
      <c r="C2" s="472"/>
      <c r="D2" s="472"/>
      <c r="E2" s="472"/>
      <c r="F2" s="472"/>
      <c r="G2" s="472"/>
    </row>
    <row r="3" spans="1:7">
      <c r="A3" s="7" t="s">
        <v>65</v>
      </c>
      <c r="B3" s="7" t="s">
        <v>66</v>
      </c>
      <c r="C3" s="7" t="s">
        <v>67</v>
      </c>
      <c r="D3" s="7" t="s">
        <v>154</v>
      </c>
      <c r="E3" s="7" t="s">
        <v>68</v>
      </c>
      <c r="F3" s="7" t="s">
        <v>69</v>
      </c>
      <c r="G3" s="7" t="s">
        <v>155</v>
      </c>
    </row>
    <row r="4" spans="1:7">
      <c r="A4" s="3" t="s">
        <v>71</v>
      </c>
      <c r="B4" s="3" t="s">
        <v>72</v>
      </c>
      <c r="C4" s="6">
        <v>300</v>
      </c>
      <c r="D4" s="30">
        <f>C4/$C$1</f>
        <v>0.58708414872798431</v>
      </c>
      <c r="E4" s="6" t="s">
        <v>156</v>
      </c>
      <c r="F4" s="3" t="s">
        <v>74</v>
      </c>
      <c r="G4" s="3"/>
    </row>
    <row r="5" spans="1:7">
      <c r="A5" s="3" t="s">
        <v>76</v>
      </c>
      <c r="B5" s="3" t="s">
        <v>77</v>
      </c>
      <c r="C5" s="3">
        <v>200</v>
      </c>
      <c r="D5" s="30">
        <f t="shared" ref="D5:D16" si="0">C5/$C$1</f>
        <v>0.39138943248532287</v>
      </c>
      <c r="E5" s="6" t="s">
        <v>156</v>
      </c>
      <c r="F5" s="3" t="s">
        <v>74</v>
      </c>
      <c r="G5" s="3"/>
    </row>
    <row r="6" spans="1:7">
      <c r="A6" s="3" t="s">
        <v>80</v>
      </c>
      <c r="B6" s="3" t="s">
        <v>81</v>
      </c>
      <c r="C6" s="3">
        <v>100</v>
      </c>
      <c r="D6" s="30">
        <f t="shared" si="0"/>
        <v>0.19569471624266144</v>
      </c>
      <c r="E6" s="6" t="s">
        <v>156</v>
      </c>
      <c r="F6" s="3" t="s">
        <v>74</v>
      </c>
      <c r="G6" s="3"/>
    </row>
    <row r="7" spans="1:7">
      <c r="A7" s="3" t="s">
        <v>83</v>
      </c>
      <c r="B7" s="3" t="s">
        <v>84</v>
      </c>
      <c r="C7" s="3">
        <v>820</v>
      </c>
      <c r="D7" s="30">
        <f t="shared" si="0"/>
        <v>1.6046966731898238</v>
      </c>
      <c r="E7" s="6" t="s">
        <v>156</v>
      </c>
      <c r="F7" s="3" t="s">
        <v>74</v>
      </c>
      <c r="G7" s="3">
        <f>(C4+C8+C10+C9+C5)/C1</f>
        <v>2.4461839530332683</v>
      </c>
    </row>
    <row r="8" spans="1:7">
      <c r="A8" s="3" t="s">
        <v>85</v>
      </c>
      <c r="B8" s="3" t="s">
        <v>86</v>
      </c>
      <c r="C8" s="3">
        <v>300</v>
      </c>
      <c r="D8" s="30">
        <f t="shared" si="0"/>
        <v>0.58708414872798431</v>
      </c>
      <c r="E8" s="6" t="s">
        <v>156</v>
      </c>
      <c r="F8" s="3" t="s">
        <v>74</v>
      </c>
      <c r="G8" s="3">
        <f>(C6+C7+C11+C12+C13+C14+C15+C16)/C1</f>
        <v>6.8982387475538163</v>
      </c>
    </row>
    <row r="9" spans="1:7">
      <c r="A9" s="3" t="s">
        <v>88</v>
      </c>
      <c r="B9" s="3" t="s">
        <v>89</v>
      </c>
      <c r="C9" s="3">
        <v>150</v>
      </c>
      <c r="D9" s="30">
        <f t="shared" si="0"/>
        <v>0.29354207436399216</v>
      </c>
      <c r="E9" s="6" t="s">
        <v>156</v>
      </c>
      <c r="F9" s="3" t="s">
        <v>74</v>
      </c>
      <c r="G9" s="3">
        <v>635</v>
      </c>
    </row>
    <row r="10" spans="1:7">
      <c r="A10" s="3" t="s">
        <v>91</v>
      </c>
      <c r="B10" s="3" t="s">
        <v>72</v>
      </c>
      <c r="C10" s="3">
        <v>300</v>
      </c>
      <c r="D10" s="30">
        <f t="shared" si="0"/>
        <v>0.58708414872798431</v>
      </c>
      <c r="E10" s="6" t="s">
        <v>156</v>
      </c>
      <c r="F10" s="3" t="s">
        <v>74</v>
      </c>
      <c r="G10" s="3">
        <f>G7+G8+G9</f>
        <v>644.34442270058707</v>
      </c>
    </row>
    <row r="11" spans="1:7">
      <c r="A11" s="3" t="s">
        <v>157</v>
      </c>
      <c r="B11" s="3" t="s">
        <v>158</v>
      </c>
      <c r="C11" s="3">
        <v>1900</v>
      </c>
      <c r="D11" s="30">
        <f t="shared" si="0"/>
        <v>3.7181996086105675</v>
      </c>
      <c r="E11" s="6" t="s">
        <v>156</v>
      </c>
      <c r="F11" s="3" t="s">
        <v>74</v>
      </c>
      <c r="G11" s="3"/>
    </row>
    <row r="12" spans="1:7">
      <c r="A12" s="3" t="s">
        <v>159</v>
      </c>
      <c r="B12" s="3" t="s">
        <v>160</v>
      </c>
      <c r="C12" s="3">
        <v>10</v>
      </c>
      <c r="D12" s="30">
        <f t="shared" si="0"/>
        <v>1.9569471624266144E-2</v>
      </c>
      <c r="E12" s="6" t="s">
        <v>156</v>
      </c>
      <c r="F12" s="3" t="s">
        <v>74</v>
      </c>
      <c r="G12" s="3"/>
    </row>
    <row r="13" spans="1:7">
      <c r="A13" s="3" t="s">
        <v>161</v>
      </c>
      <c r="B13" s="3" t="s">
        <v>162</v>
      </c>
      <c r="C13" s="3">
        <v>600</v>
      </c>
      <c r="D13" s="30">
        <f t="shared" si="0"/>
        <v>1.1741682974559686</v>
      </c>
      <c r="E13" s="6" t="s">
        <v>156</v>
      </c>
      <c r="F13" s="3" t="s">
        <v>74</v>
      </c>
      <c r="G13" s="3"/>
    </row>
    <row r="14" spans="1:7">
      <c r="A14" s="3" t="s">
        <v>80</v>
      </c>
      <c r="B14" s="3" t="s">
        <v>163</v>
      </c>
      <c r="C14" s="3">
        <v>70</v>
      </c>
      <c r="D14" s="30">
        <f t="shared" si="0"/>
        <v>0.13698630136986301</v>
      </c>
      <c r="E14" s="6" t="s">
        <v>156</v>
      </c>
      <c r="F14" s="3" t="s">
        <v>74</v>
      </c>
      <c r="G14" s="3"/>
    </row>
    <row r="15" spans="1:7">
      <c r="A15" s="3" t="s">
        <v>80</v>
      </c>
      <c r="B15" s="3" t="s">
        <v>164</v>
      </c>
      <c r="C15" s="3">
        <v>10</v>
      </c>
      <c r="D15" s="30">
        <f t="shared" si="0"/>
        <v>1.9569471624266144E-2</v>
      </c>
      <c r="E15" s="6" t="s">
        <v>156</v>
      </c>
      <c r="F15" s="3" t="s">
        <v>74</v>
      </c>
      <c r="G15" s="3"/>
    </row>
    <row r="16" spans="1:7">
      <c r="A16" s="3" t="s">
        <v>165</v>
      </c>
      <c r="B16" s="3" t="s">
        <v>166</v>
      </c>
      <c r="C16" s="3">
        <f>3*5</f>
        <v>15</v>
      </c>
      <c r="D16" s="30">
        <f t="shared" si="0"/>
        <v>2.9354207436399216E-2</v>
      </c>
      <c r="E16" s="6" t="s">
        <v>156</v>
      </c>
      <c r="F16" s="3" t="s">
        <v>74</v>
      </c>
      <c r="G16" s="3"/>
    </row>
    <row r="17" spans="1:7">
      <c r="A17" s="3"/>
      <c r="B17" s="3" t="s">
        <v>167</v>
      </c>
      <c r="C17" s="3">
        <v>635</v>
      </c>
      <c r="D17" s="30">
        <f>C17/$C$1</f>
        <v>1.2426614481409002</v>
      </c>
      <c r="E17" s="6" t="s">
        <v>156</v>
      </c>
      <c r="F17" s="3" t="s">
        <v>168</v>
      </c>
      <c r="G17" s="3"/>
    </row>
    <row r="18" spans="1:7">
      <c r="A18" s="27" t="s">
        <v>147</v>
      </c>
      <c r="B18" s="28"/>
      <c r="C18" s="27">
        <f>SUM(C4:C17)</f>
        <v>5410</v>
      </c>
      <c r="D18" s="41">
        <f>C18/$C$1</f>
        <v>10.587084148727984</v>
      </c>
      <c r="E18" s="31" t="s">
        <v>156</v>
      </c>
      <c r="F18" s="28"/>
      <c r="G18" s="28"/>
    </row>
    <row r="19" spans="1:7">
      <c r="A19" s="2"/>
    </row>
    <row r="20" spans="1:7">
      <c r="A20" s="472" t="s">
        <v>169</v>
      </c>
      <c r="B20" s="472"/>
      <c r="C20" s="472"/>
      <c r="D20" s="472"/>
      <c r="E20" s="472"/>
      <c r="F20" s="472"/>
      <c r="G20" s="472"/>
    </row>
    <row r="21" spans="1:7">
      <c r="A21" s="7" t="s">
        <v>93</v>
      </c>
      <c r="B21" s="7" t="s">
        <v>66</v>
      </c>
      <c r="C21" s="7" t="s">
        <v>67</v>
      </c>
      <c r="D21" s="7" t="s">
        <v>154</v>
      </c>
      <c r="E21" s="7" t="s">
        <v>68</v>
      </c>
      <c r="F21" s="7" t="s">
        <v>69</v>
      </c>
      <c r="G21" s="7" t="s">
        <v>70</v>
      </c>
    </row>
    <row r="22" spans="1:7" ht="27.95">
      <c r="A22" s="3" t="s">
        <v>94</v>
      </c>
      <c r="B22" s="3" t="s">
        <v>95</v>
      </c>
      <c r="C22" s="30">
        <f>(0.46*0.07)*365</f>
        <v>11.753000000000002</v>
      </c>
      <c r="D22" s="30">
        <f>(C22*20)/$C$1</f>
        <v>0.46000000000000008</v>
      </c>
      <c r="E22" s="6" t="s">
        <v>170</v>
      </c>
      <c r="F22" s="3" t="s">
        <v>171</v>
      </c>
      <c r="G22" s="3" t="s">
        <v>172</v>
      </c>
    </row>
    <row r="23" spans="1:7">
      <c r="A23" s="3" t="s">
        <v>94</v>
      </c>
      <c r="B23" s="3" t="s">
        <v>98</v>
      </c>
      <c r="C23" s="29">
        <f>3.12*0.122*365</f>
        <v>138.93359999999998</v>
      </c>
      <c r="D23" s="30">
        <f t="shared" ref="D23:D24" si="1">(C23*20)/$C$1</f>
        <v>5.4377142857142848</v>
      </c>
      <c r="E23" s="6" t="s">
        <v>170</v>
      </c>
      <c r="F23" s="3"/>
      <c r="G23" s="3" t="s">
        <v>173</v>
      </c>
    </row>
    <row r="24" spans="1:7">
      <c r="A24" s="3" t="s">
        <v>101</v>
      </c>
      <c r="B24" s="3" t="s">
        <v>174</v>
      </c>
      <c r="C24" s="29">
        <f>45*0.055</f>
        <v>2.4750000000000001</v>
      </c>
      <c r="D24" s="30">
        <f t="shared" si="1"/>
        <v>9.6868884540117411E-2</v>
      </c>
      <c r="E24" s="6" t="s">
        <v>170</v>
      </c>
      <c r="F24" s="3"/>
      <c r="G24" s="3" t="s">
        <v>175</v>
      </c>
    </row>
    <row r="25" spans="1:7">
      <c r="A25" s="27" t="s">
        <v>147</v>
      </c>
      <c r="B25" s="28"/>
      <c r="C25" s="32">
        <f>SUM(C22:C24)</f>
        <v>153.16159999999999</v>
      </c>
      <c r="D25" s="41">
        <f>SUM(D22:D24)</f>
        <v>5.9945831702544021</v>
      </c>
      <c r="E25" s="31" t="s">
        <v>156</v>
      </c>
      <c r="F25" s="33"/>
      <c r="G25" s="28"/>
    </row>
    <row r="26" spans="1:7">
      <c r="A26" s="27" t="s">
        <v>176</v>
      </c>
      <c r="B26" s="28"/>
      <c r="C26" s="32">
        <f>(C18*0.05)</f>
        <v>270.5</v>
      </c>
      <c r="D26" s="41">
        <f>(C26)/$C$1</f>
        <v>0.52935420743639927</v>
      </c>
      <c r="E26" s="31" t="s">
        <v>156</v>
      </c>
      <c r="F26" s="33"/>
      <c r="G26" s="28" t="s">
        <v>177</v>
      </c>
    </row>
    <row r="27" spans="1:7">
      <c r="A27" s="27" t="s">
        <v>147</v>
      </c>
      <c r="B27" s="27"/>
      <c r="C27" s="32">
        <f>SUM(C25:C26)</f>
        <v>423.66160000000002</v>
      </c>
      <c r="D27" s="38">
        <f>D25+D26</f>
        <v>6.5239373776908014</v>
      </c>
      <c r="E27" s="31" t="s">
        <v>156</v>
      </c>
      <c r="F27" s="35"/>
      <c r="G27" s="27"/>
    </row>
    <row r="29" spans="1:7">
      <c r="A29" s="472" t="s">
        <v>178</v>
      </c>
      <c r="B29" s="472"/>
      <c r="C29" s="472"/>
      <c r="D29" s="472"/>
      <c r="E29" s="472"/>
      <c r="F29" s="472"/>
      <c r="G29" s="472"/>
    </row>
    <row r="30" spans="1:7">
      <c r="A30" s="7" t="s">
        <v>93</v>
      </c>
      <c r="B30" s="7" t="s">
        <v>66</v>
      </c>
      <c r="C30" s="7" t="s">
        <v>67</v>
      </c>
      <c r="D30" s="7" t="s">
        <v>154</v>
      </c>
      <c r="E30" s="7" t="s">
        <v>68</v>
      </c>
      <c r="F30" s="7" t="s">
        <v>69</v>
      </c>
      <c r="G30" s="7" t="s">
        <v>70</v>
      </c>
    </row>
    <row r="31" spans="1:7">
      <c r="A31" s="3" t="s">
        <v>116</v>
      </c>
      <c r="B31" s="3" t="s">
        <v>179</v>
      </c>
      <c r="C31" s="30">
        <f>'S2_UASB_Inventory '!C23*0.055</f>
        <v>5.1721999999999992</v>
      </c>
      <c r="D31" s="30">
        <f>C31/C1</f>
        <v>1.0121722113502934E-2</v>
      </c>
      <c r="E31" s="3" t="s">
        <v>73</v>
      </c>
      <c r="F31" s="3" t="s">
        <v>96</v>
      </c>
      <c r="G31" s="3" t="s">
        <v>175</v>
      </c>
    </row>
    <row r="33" spans="1:7">
      <c r="A33" s="5"/>
      <c r="B33" s="5"/>
    </row>
    <row r="34" spans="1:7">
      <c r="A34" s="39" t="s">
        <v>180</v>
      </c>
      <c r="B34" s="39"/>
      <c r="C34" s="40">
        <f>C18+(C25*20)+C26+C31</f>
        <v>8748.9042000000009</v>
      </c>
      <c r="D34" s="40">
        <f>D27+D31+D18</f>
        <v>17.121143248532288</v>
      </c>
      <c r="E34" s="39"/>
      <c r="F34" s="39"/>
      <c r="G34" s="39"/>
    </row>
  </sheetData>
  <mergeCells count="3">
    <mergeCell ref="A2:G2"/>
    <mergeCell ref="A20:G20"/>
    <mergeCell ref="A29:G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57D22-F64C-409C-97E1-C7086CD574C8}">
  <sheetPr>
    <tabColor theme="5" tint="0.39997558519241921"/>
  </sheetPr>
  <dimension ref="A1:L88"/>
  <sheetViews>
    <sheetView zoomScale="77" workbookViewId="0">
      <selection activeCell="D21" sqref="D21"/>
    </sheetView>
  </sheetViews>
  <sheetFormatPr defaultColWidth="8.85546875" defaultRowHeight="14.1"/>
  <cols>
    <col min="1" max="9" width="33.7109375" style="10" customWidth="1"/>
    <col min="10" max="16384" width="8.85546875" style="10"/>
  </cols>
  <sheetData>
    <row r="1" spans="1:9" ht="14.45" thickBot="1">
      <c r="A1" s="22" t="s">
        <v>181</v>
      </c>
      <c r="C1" s="48"/>
      <c r="D1" s="49"/>
    </row>
    <row r="2" spans="1:9" ht="15.95">
      <c r="A2" s="50" t="s">
        <v>182</v>
      </c>
      <c r="B2" s="51">
        <v>800</v>
      </c>
      <c r="C2" s="52" t="s">
        <v>183</v>
      </c>
      <c r="D2" s="49"/>
    </row>
    <row r="3" spans="1:9" ht="15.95">
      <c r="A3" s="53" t="s">
        <v>184</v>
      </c>
      <c r="B3" s="54">
        <f>B2/24</f>
        <v>33.333333333333336</v>
      </c>
      <c r="C3" s="55" t="s">
        <v>185</v>
      </c>
      <c r="D3" s="54"/>
      <c r="E3" s="2"/>
    </row>
    <row r="4" spans="1:9">
      <c r="A4" s="53" t="s">
        <v>186</v>
      </c>
      <c r="B4" s="56">
        <v>8</v>
      </c>
      <c r="C4" s="57" t="s">
        <v>187</v>
      </c>
      <c r="D4" s="58" t="s">
        <v>188</v>
      </c>
    </row>
    <row r="5" spans="1:9" ht="15.95">
      <c r="A5" s="53" t="s">
        <v>189</v>
      </c>
      <c r="B5" s="59">
        <f>B4*B3</f>
        <v>266.66666666666669</v>
      </c>
      <c r="C5" s="57" t="s">
        <v>190</v>
      </c>
      <c r="D5" s="60" t="s">
        <v>191</v>
      </c>
    </row>
    <row r="6" spans="1:9">
      <c r="A6" s="53" t="s">
        <v>192</v>
      </c>
      <c r="B6" s="59">
        <v>133</v>
      </c>
      <c r="C6" s="57" t="s">
        <v>193</v>
      </c>
      <c r="D6" s="10" t="s">
        <v>194</v>
      </c>
    </row>
    <row r="7" spans="1:9">
      <c r="A7" s="53" t="s">
        <v>195</v>
      </c>
      <c r="B7" s="56">
        <v>6</v>
      </c>
      <c r="C7" s="57"/>
      <c r="D7" s="54"/>
    </row>
    <row r="8" spans="1:9">
      <c r="A8" s="53" t="s">
        <v>196</v>
      </c>
      <c r="B8" s="54">
        <f>B9*2</f>
        <v>5.3139243438403829</v>
      </c>
      <c r="C8" s="57"/>
      <c r="D8" s="54"/>
    </row>
    <row r="9" spans="1:9" ht="14.45" thickBot="1">
      <c r="A9" s="61" t="s">
        <v>197</v>
      </c>
      <c r="B9" s="62">
        <f>SQRT(B6/(3.14*6))</f>
        <v>2.6569621719201915</v>
      </c>
      <c r="C9" s="63"/>
      <c r="D9" s="49"/>
    </row>
    <row r="10" spans="1:9" ht="14.45" thickBot="1">
      <c r="D10" s="64"/>
      <c r="E10" s="22"/>
      <c r="F10" s="22"/>
      <c r="G10" s="22"/>
      <c r="H10" s="22"/>
      <c r="I10" s="22"/>
    </row>
    <row r="11" spans="1:9" ht="14.45" thickBot="1">
      <c r="A11" s="65" t="s">
        <v>198</v>
      </c>
      <c r="B11" s="66" t="s">
        <v>199</v>
      </c>
      <c r="C11" s="66" t="s">
        <v>200</v>
      </c>
      <c r="D11" s="67" t="s">
        <v>201</v>
      </c>
      <c r="E11" s="66" t="s">
        <v>202</v>
      </c>
      <c r="F11" s="66" t="s">
        <v>203</v>
      </c>
      <c r="G11" s="66" t="s">
        <v>204</v>
      </c>
      <c r="H11" s="66" t="s">
        <v>205</v>
      </c>
      <c r="I11" s="68" t="s">
        <v>206</v>
      </c>
    </row>
    <row r="12" spans="1:9">
      <c r="A12" s="69" t="s">
        <v>207</v>
      </c>
      <c r="B12" s="70" t="s">
        <v>208</v>
      </c>
      <c r="C12" s="69" t="s">
        <v>209</v>
      </c>
      <c r="D12" s="71">
        <v>688</v>
      </c>
      <c r="E12" s="70" t="s">
        <v>210</v>
      </c>
      <c r="F12" s="72" t="s">
        <v>211</v>
      </c>
      <c r="G12" s="72" t="s">
        <v>212</v>
      </c>
      <c r="H12" s="72"/>
      <c r="I12" s="73" t="s">
        <v>213</v>
      </c>
    </row>
    <row r="13" spans="1:9">
      <c r="A13" s="74" t="s">
        <v>214</v>
      </c>
      <c r="B13" s="12" t="s">
        <v>208</v>
      </c>
      <c r="C13" s="75" t="s">
        <v>215</v>
      </c>
      <c r="D13" s="76">
        <v>18</v>
      </c>
      <c r="E13" s="12" t="s">
        <v>73</v>
      </c>
      <c r="F13" s="12" t="s">
        <v>216</v>
      </c>
      <c r="G13" s="75" t="s">
        <v>217</v>
      </c>
      <c r="H13" s="12" t="s">
        <v>218</v>
      </c>
      <c r="I13" s="77" t="s">
        <v>219</v>
      </c>
    </row>
    <row r="14" spans="1:9">
      <c r="A14" s="74" t="s">
        <v>220</v>
      </c>
      <c r="B14" s="12" t="s">
        <v>221</v>
      </c>
      <c r="C14" s="75" t="s">
        <v>222</v>
      </c>
      <c r="D14" s="76"/>
      <c r="E14" s="12"/>
      <c r="F14" s="12"/>
      <c r="G14" s="75" t="s">
        <v>223</v>
      </c>
      <c r="H14" s="12" t="s">
        <v>224</v>
      </c>
      <c r="I14" s="77"/>
    </row>
    <row r="15" spans="1:9">
      <c r="A15" s="74" t="s">
        <v>225</v>
      </c>
      <c r="B15" s="12" t="s">
        <v>221</v>
      </c>
      <c r="C15" s="75" t="s">
        <v>215</v>
      </c>
      <c r="D15" s="78">
        <v>15</v>
      </c>
      <c r="E15" s="12" t="s">
        <v>210</v>
      </c>
      <c r="F15" s="12" t="s">
        <v>226</v>
      </c>
      <c r="G15" s="75" t="s">
        <v>217</v>
      </c>
      <c r="H15" s="12" t="s">
        <v>227</v>
      </c>
      <c r="I15" s="77" t="s">
        <v>228</v>
      </c>
    </row>
    <row r="16" spans="1:9">
      <c r="A16" s="74" t="s">
        <v>229</v>
      </c>
      <c r="B16" s="12" t="s">
        <v>221</v>
      </c>
      <c r="C16" s="75" t="s">
        <v>215</v>
      </c>
      <c r="D16" s="78">
        <v>15</v>
      </c>
      <c r="E16" s="12" t="s">
        <v>210</v>
      </c>
      <c r="F16" s="12" t="s">
        <v>226</v>
      </c>
      <c r="G16" s="75" t="s">
        <v>217</v>
      </c>
      <c r="H16" s="12" t="s">
        <v>227</v>
      </c>
      <c r="I16" s="79" t="s">
        <v>228</v>
      </c>
    </row>
    <row r="17" spans="1:10">
      <c r="A17" s="74" t="s">
        <v>230</v>
      </c>
      <c r="B17" s="12" t="s">
        <v>221</v>
      </c>
      <c r="C17" s="75" t="s">
        <v>209</v>
      </c>
      <c r="D17" s="76">
        <v>320</v>
      </c>
      <c r="E17" s="12" t="s">
        <v>210</v>
      </c>
      <c r="F17" s="11" t="s">
        <v>231</v>
      </c>
      <c r="G17" s="10" t="s">
        <v>212</v>
      </c>
      <c r="H17" s="11"/>
      <c r="I17" s="80" t="s">
        <v>213</v>
      </c>
    </row>
    <row r="18" spans="1:10">
      <c r="A18" s="74" t="s">
        <v>232</v>
      </c>
      <c r="B18" s="12" t="s">
        <v>221</v>
      </c>
      <c r="C18" s="75"/>
      <c r="D18" s="76"/>
      <c r="E18" s="12"/>
      <c r="F18" s="11"/>
      <c r="H18" s="11"/>
      <c r="I18" s="97"/>
    </row>
    <row r="19" spans="1:10">
      <c r="A19" s="74" t="s">
        <v>233</v>
      </c>
      <c r="B19" s="12" t="s">
        <v>234</v>
      </c>
      <c r="C19" s="75"/>
      <c r="D19" s="76">
        <v>50</v>
      </c>
      <c r="E19" s="12" t="s">
        <v>131</v>
      </c>
      <c r="F19" s="11"/>
      <c r="G19" s="10" t="s">
        <v>235</v>
      </c>
      <c r="H19" s="11"/>
      <c r="I19" s="97"/>
    </row>
    <row r="20" spans="1:10" ht="84">
      <c r="A20" s="74" t="s">
        <v>236</v>
      </c>
      <c r="B20" s="12" t="s">
        <v>221</v>
      </c>
      <c r="C20" s="75" t="s">
        <v>237</v>
      </c>
      <c r="D20" s="76">
        <v>9424.17</v>
      </c>
      <c r="E20" s="12" t="s">
        <v>73</v>
      </c>
      <c r="F20" s="15" t="s">
        <v>238</v>
      </c>
      <c r="G20" s="75"/>
      <c r="H20" s="12"/>
      <c r="I20" s="81" t="s">
        <v>239</v>
      </c>
      <c r="J20" s="10" t="s">
        <v>240</v>
      </c>
    </row>
    <row r="21" spans="1:10" ht="84">
      <c r="A21" s="74" t="s">
        <v>236</v>
      </c>
      <c r="B21" s="12" t="s">
        <v>221</v>
      </c>
      <c r="C21" s="75" t="s">
        <v>237</v>
      </c>
      <c r="D21" s="76">
        <v>9424.17</v>
      </c>
      <c r="E21" s="12" t="s">
        <v>73</v>
      </c>
      <c r="F21" s="15" t="s">
        <v>238</v>
      </c>
      <c r="G21" s="75"/>
      <c r="H21" s="12"/>
      <c r="I21" s="81" t="s">
        <v>239</v>
      </c>
      <c r="J21" s="10" t="s">
        <v>240</v>
      </c>
    </row>
    <row r="22" spans="1:10">
      <c r="A22" s="74" t="s">
        <v>241</v>
      </c>
      <c r="B22" s="12" t="s">
        <v>221</v>
      </c>
      <c r="C22" s="75" t="s">
        <v>242</v>
      </c>
      <c r="D22" s="13"/>
      <c r="E22" s="12"/>
      <c r="F22" s="12"/>
      <c r="G22" s="75"/>
      <c r="H22" s="12"/>
      <c r="I22" s="79"/>
    </row>
    <row r="23" spans="1:10">
      <c r="A23" s="74" t="s">
        <v>243</v>
      </c>
      <c r="B23" s="12" t="s">
        <v>221</v>
      </c>
      <c r="C23" s="75" t="s">
        <v>242</v>
      </c>
      <c r="D23" s="49"/>
      <c r="E23" s="11"/>
      <c r="F23" s="11"/>
      <c r="G23" s="11"/>
      <c r="H23" s="11"/>
      <c r="I23" s="82"/>
    </row>
    <row r="24" spans="1:10">
      <c r="A24" s="74" t="s">
        <v>128</v>
      </c>
      <c r="B24" s="12" t="s">
        <v>244</v>
      </c>
      <c r="C24" s="12" t="s">
        <v>245</v>
      </c>
      <c r="D24" s="76">
        <v>0.38</v>
      </c>
      <c r="E24" s="12" t="s">
        <v>210</v>
      </c>
      <c r="F24" s="11" t="s">
        <v>246</v>
      </c>
      <c r="G24" s="11" t="s">
        <v>247</v>
      </c>
      <c r="I24" s="83" t="s">
        <v>248</v>
      </c>
    </row>
    <row r="25" spans="1:10">
      <c r="A25" s="74" t="s">
        <v>249</v>
      </c>
      <c r="B25" s="12" t="s">
        <v>244</v>
      </c>
      <c r="C25" s="3" t="s">
        <v>250</v>
      </c>
      <c r="D25" s="13">
        <v>30</v>
      </c>
      <c r="E25" s="11" t="s">
        <v>210</v>
      </c>
      <c r="F25" s="11" t="s">
        <v>251</v>
      </c>
      <c r="G25" s="11" t="s">
        <v>252</v>
      </c>
      <c r="H25" s="11"/>
      <c r="I25" s="82" t="s">
        <v>253</v>
      </c>
    </row>
    <row r="26" spans="1:10">
      <c r="A26" s="74" t="s">
        <v>254</v>
      </c>
      <c r="B26" s="12" t="s">
        <v>244</v>
      </c>
      <c r="C26" s="12" t="s">
        <v>255</v>
      </c>
      <c r="D26" s="13"/>
      <c r="E26" s="11"/>
      <c r="F26" s="11"/>
      <c r="G26" s="75" t="s">
        <v>256</v>
      </c>
      <c r="H26" s="11"/>
      <c r="I26" s="82"/>
    </row>
    <row r="27" spans="1:10" ht="27.95">
      <c r="A27" s="74" t="s">
        <v>257</v>
      </c>
      <c r="B27" s="12" t="s">
        <v>244</v>
      </c>
      <c r="C27" s="12"/>
      <c r="D27" s="29" t="s">
        <v>258</v>
      </c>
      <c r="E27" s="84" t="s">
        <v>113</v>
      </c>
      <c r="F27" s="11"/>
      <c r="G27" s="11" t="s">
        <v>259</v>
      </c>
      <c r="H27" s="11"/>
      <c r="I27" s="82"/>
    </row>
    <row r="28" spans="1:10">
      <c r="A28" s="74" t="s">
        <v>260</v>
      </c>
      <c r="B28" s="12" t="s">
        <v>244</v>
      </c>
      <c r="C28" s="12" t="s">
        <v>261</v>
      </c>
      <c r="D28" s="49">
        <v>57</v>
      </c>
      <c r="E28" s="12" t="s">
        <v>73</v>
      </c>
      <c r="F28" s="11"/>
      <c r="G28" s="10" t="s">
        <v>262</v>
      </c>
      <c r="H28" s="11"/>
      <c r="I28" s="82" t="s">
        <v>263</v>
      </c>
    </row>
    <row r="29" spans="1:10">
      <c r="A29" s="74" t="s">
        <v>264</v>
      </c>
      <c r="B29" s="12" t="s">
        <v>265</v>
      </c>
      <c r="C29" s="12" t="s">
        <v>242</v>
      </c>
      <c r="D29" s="13"/>
      <c r="E29" s="11"/>
      <c r="F29" s="11" t="s">
        <v>266</v>
      </c>
      <c r="G29" s="12" t="s">
        <v>267</v>
      </c>
      <c r="H29" s="11"/>
      <c r="I29" s="82"/>
    </row>
    <row r="30" spans="1:10">
      <c r="A30" s="74" t="s">
        <v>160</v>
      </c>
      <c r="B30" s="12" t="s">
        <v>265</v>
      </c>
      <c r="C30" s="12" t="s">
        <v>242</v>
      </c>
      <c r="D30" s="13"/>
      <c r="E30" s="11"/>
      <c r="F30" s="11" t="s">
        <v>266</v>
      </c>
      <c r="G30" s="12" t="s">
        <v>267</v>
      </c>
      <c r="H30" s="11"/>
      <c r="I30" s="82"/>
    </row>
    <row r="31" spans="1:10" ht="27.95">
      <c r="A31" s="74" t="s">
        <v>268</v>
      </c>
      <c r="B31" s="12" t="s">
        <v>269</v>
      </c>
      <c r="C31" s="12"/>
      <c r="D31" s="29">
        <v>20</v>
      </c>
      <c r="E31" s="3" t="s">
        <v>270</v>
      </c>
      <c r="F31" s="11"/>
      <c r="G31" s="11" t="s">
        <v>271</v>
      </c>
      <c r="H31" s="11"/>
      <c r="I31" s="82"/>
    </row>
    <row r="32" spans="1:10">
      <c r="A32" s="85" t="s">
        <v>272</v>
      </c>
      <c r="B32" s="12" t="s">
        <v>269</v>
      </c>
      <c r="C32" s="86" t="s">
        <v>273</v>
      </c>
      <c r="D32" s="87">
        <v>163</v>
      </c>
      <c r="E32" s="88" t="s">
        <v>210</v>
      </c>
      <c r="F32" s="89" t="s">
        <v>274</v>
      </c>
      <c r="G32" s="11" t="s">
        <v>271</v>
      </c>
      <c r="H32" s="89"/>
      <c r="I32" s="90" t="s">
        <v>275</v>
      </c>
    </row>
    <row r="33" spans="1:12" ht="14.45" thickBot="1">
      <c r="A33" s="91" t="s">
        <v>276</v>
      </c>
      <c r="B33" s="92" t="s">
        <v>269</v>
      </c>
      <c r="C33" s="92"/>
      <c r="D33" s="93"/>
      <c r="E33" s="94"/>
      <c r="F33" s="94"/>
      <c r="G33" s="94"/>
      <c r="H33" s="94"/>
      <c r="I33" s="95"/>
    </row>
    <row r="34" spans="1:12">
      <c r="D34" s="49"/>
    </row>
    <row r="35" spans="1:12">
      <c r="D35" s="49"/>
    </row>
    <row r="36" spans="1:12">
      <c r="D36" s="49"/>
    </row>
    <row r="37" spans="1:12" ht="15.6">
      <c r="A37" s="11" t="s">
        <v>277</v>
      </c>
      <c r="B37" s="11" t="s">
        <v>68</v>
      </c>
      <c r="C37" s="11" t="s">
        <v>278</v>
      </c>
      <c r="D37" s="11" t="s">
        <v>279</v>
      </c>
      <c r="E37" s="11" t="s">
        <v>280</v>
      </c>
      <c r="F37" s="11" t="s">
        <v>281</v>
      </c>
      <c r="G37" s="96" t="s">
        <v>282</v>
      </c>
      <c r="H37" s="96" t="s">
        <v>283</v>
      </c>
      <c r="I37" s="98" t="s">
        <v>284</v>
      </c>
      <c r="J37" s="98">
        <v>1</v>
      </c>
      <c r="K37" s="98" t="s">
        <v>285</v>
      </c>
      <c r="L37" s="98" t="s">
        <v>286</v>
      </c>
    </row>
    <row r="38" spans="1:12" ht="15.6">
      <c r="A38" s="11" t="s">
        <v>287</v>
      </c>
      <c r="B38" s="11" t="s">
        <v>288</v>
      </c>
      <c r="C38" s="11" t="s">
        <v>289</v>
      </c>
      <c r="D38" s="11" t="s">
        <v>290</v>
      </c>
      <c r="E38" s="11" t="s">
        <v>291</v>
      </c>
      <c r="F38" s="11" t="s">
        <v>292</v>
      </c>
      <c r="G38" s="96"/>
      <c r="H38" s="96">
        <v>1</v>
      </c>
      <c r="I38" s="98">
        <v>0.1</v>
      </c>
      <c r="J38" s="98">
        <v>0.1</v>
      </c>
      <c r="K38" s="98">
        <v>24</v>
      </c>
      <c r="L38" s="98">
        <v>2.4000000000000004</v>
      </c>
    </row>
    <row r="39" spans="1:12">
      <c r="A39" s="11" t="s">
        <v>293</v>
      </c>
      <c r="B39" s="11" t="s">
        <v>288</v>
      </c>
      <c r="C39" s="11" t="s">
        <v>294</v>
      </c>
      <c r="D39" s="13" t="s">
        <v>295</v>
      </c>
      <c r="E39" s="11" t="s">
        <v>296</v>
      </c>
      <c r="F39" s="11" t="s">
        <v>297</v>
      </c>
      <c r="G39" s="11"/>
      <c r="H39" s="11">
        <v>1</v>
      </c>
      <c r="I39" s="11">
        <v>0.1</v>
      </c>
      <c r="J39" s="11">
        <v>0.1</v>
      </c>
      <c r="K39" s="11">
        <v>24</v>
      </c>
      <c r="L39" s="11">
        <v>2.4000000000000004</v>
      </c>
    </row>
    <row r="40" spans="1:12">
      <c r="A40" s="11" t="s">
        <v>298</v>
      </c>
      <c r="B40" s="11" t="s">
        <v>288</v>
      </c>
      <c r="C40" s="11" t="s">
        <v>299</v>
      </c>
      <c r="D40" s="13" t="s">
        <v>295</v>
      </c>
      <c r="E40" s="11" t="s">
        <v>296</v>
      </c>
      <c r="F40" s="11" t="s">
        <v>300</v>
      </c>
      <c r="G40" s="11"/>
      <c r="H40" s="11">
        <v>1</v>
      </c>
      <c r="I40" s="11">
        <v>0.1</v>
      </c>
      <c r="J40" s="11">
        <v>0.1</v>
      </c>
      <c r="K40" s="11">
        <v>24</v>
      </c>
      <c r="L40" s="11">
        <v>2.4000000000000004</v>
      </c>
    </row>
    <row r="41" spans="1:12">
      <c r="A41" s="11" t="s">
        <v>301</v>
      </c>
      <c r="B41" s="11" t="s">
        <v>288</v>
      </c>
      <c r="C41" s="11" t="s">
        <v>302</v>
      </c>
      <c r="D41" s="13" t="s">
        <v>303</v>
      </c>
      <c r="E41" s="11" t="s">
        <v>304</v>
      </c>
      <c r="F41" s="11"/>
      <c r="G41" s="11"/>
      <c r="H41" s="11">
        <v>1</v>
      </c>
      <c r="I41" s="11">
        <v>0.1</v>
      </c>
      <c r="J41" s="11">
        <v>0.1</v>
      </c>
      <c r="K41" s="11">
        <v>24</v>
      </c>
      <c r="L41" s="11">
        <v>2.4000000000000004</v>
      </c>
    </row>
    <row r="42" spans="1:12">
      <c r="A42" s="11" t="s">
        <v>305</v>
      </c>
      <c r="B42" s="11" t="s">
        <v>288</v>
      </c>
      <c r="C42" s="11" t="s">
        <v>306</v>
      </c>
      <c r="D42" s="13" t="s">
        <v>307</v>
      </c>
      <c r="E42" s="11" t="s">
        <v>308</v>
      </c>
      <c r="F42" s="11" t="s">
        <v>309</v>
      </c>
      <c r="G42" s="11"/>
      <c r="H42" s="11">
        <v>1</v>
      </c>
      <c r="I42" s="11">
        <v>0.55000000000000004</v>
      </c>
      <c r="J42" s="11">
        <v>0.55000000000000004</v>
      </c>
      <c r="K42" s="11">
        <v>24</v>
      </c>
      <c r="L42" s="11">
        <v>13.200000000000001</v>
      </c>
    </row>
    <row r="43" spans="1:12">
      <c r="A43" s="11" t="s">
        <v>85</v>
      </c>
      <c r="B43" s="11" t="s">
        <v>288</v>
      </c>
      <c r="C43" s="11" t="s">
        <v>310</v>
      </c>
      <c r="D43" s="13" t="s">
        <v>311</v>
      </c>
      <c r="E43" s="11" t="s">
        <v>312</v>
      </c>
      <c r="F43" s="11" t="s">
        <v>313</v>
      </c>
      <c r="G43" s="11"/>
      <c r="H43" s="11">
        <v>1</v>
      </c>
      <c r="I43" s="99">
        <v>1.5</v>
      </c>
      <c r="J43" s="11">
        <v>1.5</v>
      </c>
      <c r="K43" s="11">
        <v>14.4</v>
      </c>
      <c r="L43" s="11">
        <v>21.6</v>
      </c>
    </row>
    <row r="44" spans="1:12">
      <c r="A44" s="11" t="s">
        <v>314</v>
      </c>
      <c r="B44" s="11" t="s">
        <v>288</v>
      </c>
      <c r="C44" s="11" t="s">
        <v>315</v>
      </c>
      <c r="D44" s="13" t="s">
        <v>311</v>
      </c>
      <c r="E44" s="11" t="s">
        <v>316</v>
      </c>
      <c r="F44" s="11" t="s">
        <v>317</v>
      </c>
      <c r="G44" s="11"/>
      <c r="H44" s="11">
        <v>1</v>
      </c>
      <c r="I44" s="99">
        <v>0.75</v>
      </c>
      <c r="J44" s="11">
        <v>0.75</v>
      </c>
      <c r="K44" s="11">
        <v>24</v>
      </c>
      <c r="L44" s="11">
        <v>18</v>
      </c>
    </row>
    <row r="45" spans="1:12">
      <c r="A45" s="11" t="s">
        <v>318</v>
      </c>
      <c r="B45" s="11" t="s">
        <v>288</v>
      </c>
      <c r="C45" s="11" t="s">
        <v>319</v>
      </c>
      <c r="D45" s="13" t="s">
        <v>311</v>
      </c>
      <c r="E45" s="11" t="s">
        <v>320</v>
      </c>
      <c r="F45" s="11" t="s">
        <v>321</v>
      </c>
      <c r="G45" s="11"/>
      <c r="H45" s="11">
        <v>1</v>
      </c>
      <c r="I45" s="100">
        <v>1.5</v>
      </c>
      <c r="J45" s="11">
        <v>1.5</v>
      </c>
      <c r="K45" s="11">
        <v>24</v>
      </c>
      <c r="L45" s="11">
        <v>36</v>
      </c>
    </row>
    <row r="46" spans="1:12">
      <c r="A46" s="11" t="s">
        <v>322</v>
      </c>
      <c r="B46" s="11" t="s">
        <v>288</v>
      </c>
      <c r="C46" s="11" t="s">
        <v>323</v>
      </c>
      <c r="D46" s="13" t="s">
        <v>324</v>
      </c>
      <c r="E46" s="11" t="s">
        <v>325</v>
      </c>
      <c r="F46" s="11" t="s">
        <v>326</v>
      </c>
      <c r="G46" s="11"/>
      <c r="H46" s="11">
        <v>1</v>
      </c>
      <c r="I46" s="11">
        <v>0</v>
      </c>
      <c r="J46" s="11" t="s">
        <v>327</v>
      </c>
      <c r="K46" s="11">
        <v>0</v>
      </c>
      <c r="L46" s="11" t="s">
        <v>327</v>
      </c>
    </row>
    <row r="47" spans="1:12">
      <c r="A47" s="11" t="s">
        <v>221</v>
      </c>
      <c r="B47" s="11" t="s">
        <v>288</v>
      </c>
      <c r="C47" s="11" t="s">
        <v>236</v>
      </c>
      <c r="D47" s="13" t="s">
        <v>307</v>
      </c>
      <c r="E47" s="11" t="s">
        <v>328</v>
      </c>
      <c r="F47" s="11" t="s">
        <v>329</v>
      </c>
      <c r="G47" s="11"/>
      <c r="H47" s="11">
        <v>1</v>
      </c>
      <c r="I47" s="99">
        <v>34.28</v>
      </c>
      <c r="J47" s="11">
        <v>34.28</v>
      </c>
      <c r="K47" s="11">
        <v>19.200000000000003</v>
      </c>
      <c r="L47" s="11">
        <v>658.17600000000004</v>
      </c>
    </row>
    <row r="48" spans="1:12">
      <c r="D48" s="49"/>
    </row>
    <row r="49" spans="4:12">
      <c r="D49" s="49"/>
      <c r="L49" s="10">
        <v>926.19000000000017</v>
      </c>
    </row>
    <row r="50" spans="4:12">
      <c r="D50" s="49"/>
      <c r="I50" s="100" t="s">
        <v>330</v>
      </c>
    </row>
    <row r="51" spans="4:12">
      <c r="D51" s="49"/>
    </row>
    <row r="52" spans="4:12">
      <c r="D52" s="49"/>
    </row>
    <row r="53" spans="4:12">
      <c r="D53" s="49"/>
    </row>
    <row r="54" spans="4:12">
      <c r="D54" s="49"/>
    </row>
    <row r="55" spans="4:12">
      <c r="D55" s="49"/>
    </row>
    <row r="56" spans="4:12">
      <c r="D56" s="49"/>
    </row>
    <row r="57" spans="4:12">
      <c r="D57" s="49"/>
    </row>
    <row r="58" spans="4:12">
      <c r="D58" s="49"/>
    </row>
    <row r="59" spans="4:12">
      <c r="D59" s="49"/>
    </row>
    <row r="60" spans="4:12">
      <c r="D60" s="49"/>
    </row>
    <row r="61" spans="4:12">
      <c r="D61" s="49"/>
    </row>
    <row r="62" spans="4:12">
      <c r="D62" s="49"/>
    </row>
    <row r="63" spans="4:12">
      <c r="D63" s="49"/>
    </row>
    <row r="64" spans="4:12">
      <c r="D64" s="49"/>
    </row>
    <row r="65" spans="4:4">
      <c r="D65" s="49"/>
    </row>
    <row r="66" spans="4:4">
      <c r="D66" s="49"/>
    </row>
    <row r="67" spans="4:4">
      <c r="D67" s="49"/>
    </row>
    <row r="68" spans="4:4">
      <c r="D68" s="49"/>
    </row>
    <row r="69" spans="4:4">
      <c r="D69" s="49"/>
    </row>
    <row r="70" spans="4:4">
      <c r="D70" s="49"/>
    </row>
    <row r="71" spans="4:4">
      <c r="D71" s="49"/>
    </row>
    <row r="72" spans="4:4">
      <c r="D72" s="49"/>
    </row>
    <row r="73" spans="4:4">
      <c r="D73" s="49"/>
    </row>
    <row r="74" spans="4:4">
      <c r="D74" s="49"/>
    </row>
    <row r="75" spans="4:4">
      <c r="D75" s="49"/>
    </row>
    <row r="76" spans="4:4">
      <c r="D76" s="49"/>
    </row>
    <row r="77" spans="4:4">
      <c r="D77" s="49"/>
    </row>
    <row r="78" spans="4:4">
      <c r="D78" s="49"/>
    </row>
    <row r="79" spans="4:4">
      <c r="D79" s="49"/>
    </row>
    <row r="80" spans="4:4">
      <c r="D80" s="49"/>
    </row>
    <row r="81" spans="4:4">
      <c r="D81" s="49"/>
    </row>
    <row r="82" spans="4:4">
      <c r="D82" s="49"/>
    </row>
    <row r="83" spans="4:4">
      <c r="D83" s="49"/>
    </row>
    <row r="84" spans="4:4">
      <c r="D84" s="49"/>
    </row>
    <row r="85" spans="4:4">
      <c r="D85" s="49"/>
    </row>
    <row r="86" spans="4:4">
      <c r="D86" s="49"/>
    </row>
    <row r="87" spans="4:4">
      <c r="D87" s="49"/>
    </row>
    <row r="88" spans="4:4">
      <c r="D88" s="49"/>
    </row>
  </sheetData>
  <hyperlinks>
    <hyperlink ref="I13" r:id="rId1" xr:uid="{7CDFFBF7-E265-4191-9969-F67AEEE06923}"/>
    <hyperlink ref="I12" r:id="rId2" location=".Y11J8XZBw2w" xr:uid="{91AF4342-88D8-43C8-864C-60670E213EE9}"/>
    <hyperlink ref="I21" r:id="rId3" xr:uid="{DFC47119-4D07-4FE6-A6DE-C142288D9923}"/>
    <hyperlink ref="I20" r:id="rId4" xr:uid="{26D47664-E332-42F4-B706-7F60CEBC5FD7}"/>
  </hyperlinks>
  <pageMargins left="0.7" right="0.7" top="0.75" bottom="0.75" header="0.3" footer="0.3"/>
  <drawing r:id="rId5"/>
  <legacy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48C5F-951E-4C49-A33A-E4D6355DA850}">
  <sheetPr>
    <tabColor theme="9" tint="0.39997558519241921"/>
  </sheetPr>
  <dimension ref="A1:H62"/>
  <sheetViews>
    <sheetView topLeftCell="A38" zoomScale="90" zoomScaleNormal="90" workbookViewId="0">
      <selection activeCell="G62" sqref="G62"/>
    </sheetView>
  </sheetViews>
  <sheetFormatPr defaultColWidth="8.85546875" defaultRowHeight="14.1"/>
  <cols>
    <col min="1" max="1" width="14.140625" style="4" customWidth="1"/>
    <col min="2" max="2" width="28.42578125" style="4" customWidth="1"/>
    <col min="3" max="4" width="14" style="4" customWidth="1"/>
    <col min="5" max="5" width="8.28515625" style="4" customWidth="1"/>
    <col min="6" max="6" width="21.7109375" style="4" customWidth="1"/>
    <col min="7" max="7" width="43.5703125" style="4" customWidth="1"/>
    <col min="8" max="8" width="32.85546875" style="4" customWidth="1"/>
    <col min="9" max="16384" width="8.85546875" style="4"/>
  </cols>
  <sheetData>
    <row r="1" spans="1:7" ht="14.45" customHeight="1">
      <c r="A1" s="8" t="s">
        <v>62</v>
      </c>
      <c r="B1" s="8" t="s">
        <v>331</v>
      </c>
      <c r="C1" s="4" t="s">
        <v>332</v>
      </c>
      <c r="D1" s="4">
        <f>0.6*365*20</f>
        <v>4380</v>
      </c>
    </row>
    <row r="2" spans="1:7" ht="12" customHeight="1">
      <c r="A2" s="472" t="s">
        <v>64</v>
      </c>
      <c r="B2" s="472"/>
      <c r="C2" s="472"/>
      <c r="D2" s="472"/>
      <c r="E2" s="472"/>
      <c r="F2" s="472"/>
      <c r="G2" s="472"/>
    </row>
    <row r="3" spans="1:7">
      <c r="A3" s="7" t="s">
        <v>65</v>
      </c>
      <c r="B3" s="7" t="s">
        <v>66</v>
      </c>
      <c r="C3" s="7" t="s">
        <v>67</v>
      </c>
      <c r="D3" s="7" t="s">
        <v>333</v>
      </c>
      <c r="E3" s="7" t="s">
        <v>68</v>
      </c>
      <c r="F3" s="7" t="s">
        <v>69</v>
      </c>
      <c r="G3" s="7" t="s">
        <v>70</v>
      </c>
    </row>
    <row r="4" spans="1:7" ht="27.95">
      <c r="A4" s="3" t="s">
        <v>334</v>
      </c>
      <c r="B4" s="3" t="s">
        <v>335</v>
      </c>
      <c r="C4" s="6">
        <v>0.11</v>
      </c>
      <c r="D4" s="262">
        <f>0.11/1.5</f>
        <v>7.3333333333333334E-2</v>
      </c>
      <c r="E4" s="3" t="s">
        <v>124</v>
      </c>
      <c r="F4" s="3" t="s">
        <v>74</v>
      </c>
      <c r="G4" s="3" t="s">
        <v>336</v>
      </c>
    </row>
    <row r="5" spans="1:7">
      <c r="A5" s="3" t="s">
        <v>337</v>
      </c>
      <c r="B5" s="3" t="s">
        <v>338</v>
      </c>
      <c r="C5" s="3">
        <v>0.37</v>
      </c>
      <c r="D5" s="262">
        <f>0.37/22</f>
        <v>1.6818181818181819E-2</v>
      </c>
      <c r="E5" s="3" t="s">
        <v>124</v>
      </c>
      <c r="F5" s="3" t="s">
        <v>74</v>
      </c>
      <c r="G5" s="3" t="s">
        <v>339</v>
      </c>
    </row>
    <row r="6" spans="1:7" ht="27.95">
      <c r="A6" s="3"/>
      <c r="B6" s="3" t="s">
        <v>340</v>
      </c>
      <c r="C6" s="3">
        <v>3</v>
      </c>
      <c r="D6" s="262">
        <f t="shared" ref="D6:D14" si="0">C6/$D$1</f>
        <v>6.8493150684931507E-4</v>
      </c>
      <c r="E6" s="3" t="s">
        <v>73</v>
      </c>
      <c r="F6" s="3" t="s">
        <v>74</v>
      </c>
      <c r="G6" s="3" t="s">
        <v>341</v>
      </c>
    </row>
    <row r="7" spans="1:7" ht="42">
      <c r="A7" s="3" t="s">
        <v>342</v>
      </c>
      <c r="B7" s="3" t="s">
        <v>343</v>
      </c>
      <c r="C7" s="3">
        <v>25.71</v>
      </c>
      <c r="D7" s="262">
        <f t="shared" si="0"/>
        <v>5.8698630136986302E-3</v>
      </c>
      <c r="E7" s="3" t="s">
        <v>73</v>
      </c>
      <c r="F7" s="3" t="s">
        <v>74</v>
      </c>
      <c r="G7" s="3" t="s">
        <v>344</v>
      </c>
    </row>
    <row r="8" spans="1:7" ht="13.9" customHeight="1">
      <c r="A8" s="3" t="s">
        <v>345</v>
      </c>
      <c r="B8" s="3" t="s">
        <v>346</v>
      </c>
      <c r="C8" s="3">
        <v>2.2000000000000002</v>
      </c>
      <c r="D8" s="262">
        <f t="shared" si="0"/>
        <v>5.022831050228311E-4</v>
      </c>
      <c r="E8" s="3" t="s">
        <v>347</v>
      </c>
      <c r="F8" s="3" t="s">
        <v>74</v>
      </c>
      <c r="G8" s="3" t="s">
        <v>344</v>
      </c>
    </row>
    <row r="9" spans="1:7" ht="13.9" customHeight="1">
      <c r="A9" s="3" t="s">
        <v>348</v>
      </c>
      <c r="B9" s="3" t="s">
        <v>349</v>
      </c>
      <c r="C9" s="3">
        <v>328</v>
      </c>
      <c r="D9" s="262">
        <f t="shared" si="0"/>
        <v>7.4885844748858441E-2</v>
      </c>
      <c r="E9" s="3" t="s">
        <v>73</v>
      </c>
      <c r="F9" s="3" t="s">
        <v>74</v>
      </c>
      <c r="G9" s="3" t="s">
        <v>350</v>
      </c>
    </row>
    <row r="10" spans="1:7" ht="13.9" customHeight="1">
      <c r="A10" s="3" t="s">
        <v>351</v>
      </c>
      <c r="B10" s="3" t="s">
        <v>352</v>
      </c>
      <c r="C10" s="3">
        <v>120</v>
      </c>
      <c r="D10" s="262">
        <f t="shared" si="0"/>
        <v>2.7397260273972601E-2</v>
      </c>
      <c r="E10" s="3" t="s">
        <v>73</v>
      </c>
      <c r="F10" s="3" t="s">
        <v>74</v>
      </c>
      <c r="G10" s="3" t="s">
        <v>350</v>
      </c>
    </row>
    <row r="11" spans="1:7" ht="13.9" customHeight="1">
      <c r="A11" s="3" t="s">
        <v>353</v>
      </c>
      <c r="B11" s="3" t="s">
        <v>354</v>
      </c>
      <c r="C11" s="3">
        <v>80</v>
      </c>
      <c r="D11" s="262">
        <f t="shared" si="0"/>
        <v>1.8264840182648401E-2</v>
      </c>
      <c r="E11" s="3" t="s">
        <v>73</v>
      </c>
      <c r="F11" s="3" t="s">
        <v>74</v>
      </c>
      <c r="G11" s="3" t="s">
        <v>350</v>
      </c>
    </row>
    <row r="12" spans="1:7" ht="13.9" customHeight="1">
      <c r="A12" s="3" t="s">
        <v>355</v>
      </c>
      <c r="B12" s="3" t="s">
        <v>356</v>
      </c>
      <c r="C12" s="3">
        <v>17</v>
      </c>
      <c r="D12" s="262">
        <f t="shared" si="0"/>
        <v>3.8812785388127853E-3</v>
      </c>
      <c r="E12" s="3" t="s">
        <v>73</v>
      </c>
      <c r="F12" s="3" t="s">
        <v>74</v>
      </c>
      <c r="G12" s="3" t="s">
        <v>350</v>
      </c>
    </row>
    <row r="13" spans="1:7" ht="13.9" customHeight="1">
      <c r="A13" s="3" t="s">
        <v>357</v>
      </c>
      <c r="B13" s="3" t="s">
        <v>358</v>
      </c>
      <c r="C13" s="3">
        <v>18</v>
      </c>
      <c r="D13" s="262">
        <f t="shared" si="0"/>
        <v>4.10958904109589E-3</v>
      </c>
      <c r="E13" s="3" t="s">
        <v>73</v>
      </c>
      <c r="F13" s="3" t="s">
        <v>74</v>
      </c>
      <c r="G13" s="3" t="s">
        <v>350</v>
      </c>
    </row>
    <row r="14" spans="1:7" ht="13.9" customHeight="1">
      <c r="A14" s="3" t="s">
        <v>359</v>
      </c>
      <c r="B14" s="3" t="s">
        <v>360</v>
      </c>
      <c r="C14" s="3">
        <v>1344</v>
      </c>
      <c r="D14" s="262">
        <f t="shared" si="0"/>
        <v>0.30684931506849317</v>
      </c>
      <c r="E14" s="3" t="s">
        <v>73</v>
      </c>
      <c r="F14" s="3" t="s">
        <v>74</v>
      </c>
      <c r="G14" s="3" t="s">
        <v>350</v>
      </c>
    </row>
    <row r="15" spans="1:7" ht="27.95">
      <c r="A15" s="1" t="s">
        <v>92</v>
      </c>
      <c r="B15" s="1"/>
      <c r="C15" s="1"/>
      <c r="D15" s="1"/>
      <c r="E15" s="1"/>
      <c r="F15" s="1"/>
      <c r="G15" s="1"/>
    </row>
    <row r="16" spans="1:7">
      <c r="A16" s="7" t="s">
        <v>93</v>
      </c>
      <c r="B16" s="7" t="s">
        <v>66</v>
      </c>
      <c r="C16" s="7" t="s">
        <v>67</v>
      </c>
      <c r="D16" s="7"/>
      <c r="E16" s="7" t="s">
        <v>68</v>
      </c>
      <c r="F16" s="7" t="s">
        <v>69</v>
      </c>
      <c r="G16" s="7" t="s">
        <v>70</v>
      </c>
    </row>
    <row r="17" spans="1:7">
      <c r="A17" s="3" t="s">
        <v>94</v>
      </c>
      <c r="B17" s="3" t="s">
        <v>98</v>
      </c>
      <c r="C17" s="3">
        <f>184*300*20</f>
        <v>1104000</v>
      </c>
      <c r="D17" s="263">
        <f>C17/$D$1</f>
        <v>252.05479452054794</v>
      </c>
      <c r="E17" s="3" t="s">
        <v>124</v>
      </c>
      <c r="F17" s="3" t="s">
        <v>74</v>
      </c>
      <c r="G17" s="3"/>
    </row>
    <row r="18" spans="1:7">
      <c r="A18" s="3" t="s">
        <v>101</v>
      </c>
      <c r="B18" s="3" t="s">
        <v>104</v>
      </c>
      <c r="C18" s="4">
        <v>1907</v>
      </c>
      <c r="D18" s="263">
        <f>C18/$D$1</f>
        <v>0.43538812785388126</v>
      </c>
      <c r="E18" s="3" t="s">
        <v>73</v>
      </c>
      <c r="F18" s="3" t="s">
        <v>74</v>
      </c>
      <c r="G18" s="3"/>
    </row>
    <row r="19" spans="1:7">
      <c r="A19" s="3" t="s">
        <v>101</v>
      </c>
      <c r="B19" s="3" t="s">
        <v>361</v>
      </c>
      <c r="C19" s="3">
        <v>1.83E-3</v>
      </c>
      <c r="D19" s="263">
        <f>C19/$D$1</f>
        <v>4.1780821917808222E-7</v>
      </c>
      <c r="E19" s="3" t="s">
        <v>73</v>
      </c>
      <c r="F19" s="3" t="s">
        <v>362</v>
      </c>
      <c r="G19" s="3" t="s">
        <v>363</v>
      </c>
    </row>
    <row r="20" spans="1:7">
      <c r="A20" s="3" t="s">
        <v>101</v>
      </c>
      <c r="B20" s="3" t="s">
        <v>361</v>
      </c>
      <c r="C20" s="3">
        <v>1.7000000000000001E-4</v>
      </c>
      <c r="D20" s="263">
        <f>C20/$D$1</f>
        <v>3.881278538812786E-8</v>
      </c>
      <c r="E20" s="3" t="s">
        <v>73</v>
      </c>
      <c r="F20" s="3" t="s">
        <v>362</v>
      </c>
      <c r="G20" s="3" t="s">
        <v>364</v>
      </c>
    </row>
    <row r="21" spans="1:7" ht="16.149999999999999" customHeight="1">
      <c r="A21" s="3" t="s">
        <v>101</v>
      </c>
      <c r="B21" s="3" t="s">
        <v>112</v>
      </c>
      <c r="C21" s="3">
        <v>0.6</v>
      </c>
      <c r="D21" s="3"/>
      <c r="E21" s="3" t="s">
        <v>113</v>
      </c>
      <c r="F21" s="3" t="s">
        <v>74</v>
      </c>
      <c r="G21" s="3" t="s">
        <v>365</v>
      </c>
    </row>
    <row r="22" spans="1:7" ht="16.149999999999999" customHeight="1">
      <c r="A22" s="472" t="s">
        <v>115</v>
      </c>
      <c r="B22" s="472"/>
      <c r="C22" s="472"/>
      <c r="D22" s="472"/>
      <c r="E22" s="472"/>
      <c r="F22" s="472"/>
      <c r="G22" s="472"/>
    </row>
    <row r="23" spans="1:7">
      <c r="A23" s="7" t="s">
        <v>93</v>
      </c>
      <c r="B23" s="7" t="s">
        <v>66</v>
      </c>
      <c r="C23" s="7" t="s">
        <v>67</v>
      </c>
      <c r="D23" s="7"/>
      <c r="E23" s="7" t="s">
        <v>68</v>
      </c>
      <c r="F23" s="7" t="s">
        <v>69</v>
      </c>
      <c r="G23" s="7" t="s">
        <v>70</v>
      </c>
    </row>
    <row r="24" spans="1:7" ht="27.95">
      <c r="A24" s="3" t="s">
        <v>116</v>
      </c>
      <c r="B24" s="3" t="s">
        <v>117</v>
      </c>
      <c r="C24" s="30">
        <f>SUM(C9:C14)+C6+C7+((0.00022*300)*3)</f>
        <v>1935.9080000000001</v>
      </c>
      <c r="D24" s="262">
        <f>C24/D1</f>
        <v>0.44198812785388131</v>
      </c>
      <c r="E24" s="6" t="s">
        <v>73</v>
      </c>
      <c r="F24" s="3" t="s">
        <v>96</v>
      </c>
      <c r="G24" s="3" t="s">
        <v>118</v>
      </c>
    </row>
    <row r="33" spans="1:8">
      <c r="A33" s="5" t="s">
        <v>119</v>
      </c>
      <c r="B33" s="5" t="s">
        <v>120</v>
      </c>
      <c r="D33" s="4">
        <f>800*365*20</f>
        <v>5840000</v>
      </c>
    </row>
    <row r="34" spans="1:8">
      <c r="A34" s="472" t="s">
        <v>64</v>
      </c>
      <c r="B34" s="472"/>
      <c r="C34" s="472"/>
      <c r="D34" s="472"/>
      <c r="E34" s="472"/>
      <c r="F34" s="472"/>
      <c r="G34" s="472"/>
    </row>
    <row r="35" spans="1:8">
      <c r="A35" s="7" t="s">
        <v>65</v>
      </c>
      <c r="B35" s="7" t="s">
        <v>66</v>
      </c>
      <c r="C35" s="7" t="s">
        <v>67</v>
      </c>
      <c r="D35" s="7"/>
      <c r="E35" s="7" t="s">
        <v>68</v>
      </c>
      <c r="F35" s="7" t="s">
        <v>69</v>
      </c>
      <c r="G35" s="7" t="s">
        <v>70</v>
      </c>
    </row>
    <row r="36" spans="1:8" ht="28.5">
      <c r="A36" s="3" t="s">
        <v>334</v>
      </c>
      <c r="B36" s="3" t="s">
        <v>335</v>
      </c>
      <c r="C36" s="6">
        <f>(75*4)*12</f>
        <v>3600</v>
      </c>
      <c r="D36" s="262">
        <f>75/22</f>
        <v>3.4090909090909092</v>
      </c>
      <c r="E36" s="3" t="s">
        <v>124</v>
      </c>
      <c r="F36" s="3" t="s">
        <v>74</v>
      </c>
      <c r="G36" s="3" t="s">
        <v>366</v>
      </c>
      <c r="H36" s="101" t="s">
        <v>367</v>
      </c>
    </row>
    <row r="37" spans="1:8">
      <c r="A37" s="3" t="s">
        <v>337</v>
      </c>
      <c r="B37" s="3" t="s">
        <v>338</v>
      </c>
      <c r="C37" s="3">
        <f>(7.5*3)*17</f>
        <v>382.5</v>
      </c>
      <c r="D37" s="262">
        <f>7.5/22</f>
        <v>0.34090909090909088</v>
      </c>
      <c r="E37" s="3" t="s">
        <v>124</v>
      </c>
      <c r="F37" s="3" t="s">
        <v>74</v>
      </c>
      <c r="G37" s="3" t="s">
        <v>339</v>
      </c>
    </row>
    <row r="38" spans="1:8" ht="27.95">
      <c r="A38" s="3"/>
      <c r="B38" s="3" t="s">
        <v>340</v>
      </c>
      <c r="C38" s="3">
        <v>1713.6</v>
      </c>
      <c r="D38" s="262">
        <f t="shared" ref="D38:D47" si="1">C38/$D$33</f>
        <v>2.9342465753424653E-4</v>
      </c>
      <c r="E38" s="3" t="s">
        <v>73</v>
      </c>
      <c r="F38" s="3" t="s">
        <v>74</v>
      </c>
      <c r="G38" s="3" t="s">
        <v>341</v>
      </c>
    </row>
    <row r="39" spans="1:8">
      <c r="A39" s="3"/>
      <c r="B39" s="3" t="s">
        <v>233</v>
      </c>
      <c r="C39" s="3">
        <v>15000</v>
      </c>
      <c r="D39" s="262">
        <f t="shared" si="1"/>
        <v>2.5684931506849314E-3</v>
      </c>
      <c r="E39" s="3" t="s">
        <v>131</v>
      </c>
      <c r="F39" s="3" t="s">
        <v>368</v>
      </c>
      <c r="G39" s="3"/>
    </row>
    <row r="40" spans="1:8" ht="15.6" customHeight="1">
      <c r="A40" s="3" t="s">
        <v>342</v>
      </c>
      <c r="B40" s="3" t="s">
        <v>343</v>
      </c>
      <c r="C40" s="3">
        <v>7795.8900000000012</v>
      </c>
      <c r="D40" s="262">
        <f t="shared" si="1"/>
        <v>1.334912671232877E-3</v>
      </c>
      <c r="E40" s="3" t="s">
        <v>73</v>
      </c>
      <c r="F40" s="3" t="s">
        <v>74</v>
      </c>
      <c r="G40" s="3" t="s">
        <v>344</v>
      </c>
    </row>
    <row r="41" spans="1:8" ht="15.6" customHeight="1">
      <c r="A41" s="3" t="s">
        <v>345</v>
      </c>
      <c r="B41" s="3" t="s">
        <v>346</v>
      </c>
      <c r="C41" s="3">
        <f>1339.5*3</f>
        <v>4018.5</v>
      </c>
      <c r="D41" s="262">
        <f t="shared" si="1"/>
        <v>6.8809931506849317E-4</v>
      </c>
      <c r="E41" s="3" t="s">
        <v>347</v>
      </c>
      <c r="F41" s="3" t="s">
        <v>369</v>
      </c>
      <c r="G41" s="3" t="s">
        <v>344</v>
      </c>
    </row>
    <row r="42" spans="1:8" ht="15.6" customHeight="1">
      <c r="A42" s="3" t="s">
        <v>348</v>
      </c>
      <c r="B42" s="3" t="s">
        <v>349</v>
      </c>
      <c r="C42" s="29">
        <f>((C9*$C$41)/2.2)/1000</f>
        <v>599.12181818181807</v>
      </c>
      <c r="D42" s="262">
        <f t="shared" si="1"/>
        <v>1.0258935242839351E-4</v>
      </c>
      <c r="E42" s="3" t="s">
        <v>370</v>
      </c>
      <c r="F42" s="3" t="s">
        <v>368</v>
      </c>
      <c r="G42" s="3" t="s">
        <v>350</v>
      </c>
    </row>
    <row r="43" spans="1:8" ht="15.6" customHeight="1">
      <c r="A43" s="3" t="s">
        <v>351</v>
      </c>
      <c r="B43" s="3" t="s">
        <v>352</v>
      </c>
      <c r="C43" s="29">
        <f t="shared" ref="C43:C46" si="2">((C10*$C$41)/2.2)/1000</f>
        <v>219.19090909090906</v>
      </c>
      <c r="D43" s="262">
        <f t="shared" si="1"/>
        <v>3.7532689912826893E-5</v>
      </c>
      <c r="E43" s="3" t="s">
        <v>370</v>
      </c>
      <c r="F43" s="3" t="s">
        <v>74</v>
      </c>
      <c r="G43" s="3" t="s">
        <v>350</v>
      </c>
    </row>
    <row r="44" spans="1:8" ht="15.6" customHeight="1">
      <c r="A44" s="3" t="s">
        <v>353</v>
      </c>
      <c r="B44" s="3" t="s">
        <v>354</v>
      </c>
      <c r="C44" s="29">
        <f t="shared" si="2"/>
        <v>146.1272727272727</v>
      </c>
      <c r="D44" s="262">
        <f t="shared" si="1"/>
        <v>2.5021793275217927E-5</v>
      </c>
      <c r="E44" s="3" t="s">
        <v>370</v>
      </c>
      <c r="F44" s="3" t="s">
        <v>74</v>
      </c>
      <c r="G44" s="3" t="s">
        <v>350</v>
      </c>
    </row>
    <row r="45" spans="1:8" ht="15.6" customHeight="1">
      <c r="A45" s="3" t="s">
        <v>355</v>
      </c>
      <c r="B45" s="3" t="s">
        <v>356</v>
      </c>
      <c r="C45" s="29">
        <f t="shared" si="2"/>
        <v>31.052045454545453</v>
      </c>
      <c r="D45" s="262">
        <f t="shared" si="1"/>
        <v>5.3171310709838107E-6</v>
      </c>
      <c r="E45" s="3" t="s">
        <v>370</v>
      </c>
      <c r="F45" s="3" t="s">
        <v>74</v>
      </c>
      <c r="G45" s="3" t="s">
        <v>350</v>
      </c>
    </row>
    <row r="46" spans="1:8" ht="15.6" customHeight="1">
      <c r="A46" s="3" t="s">
        <v>357</v>
      </c>
      <c r="B46" s="3" t="s">
        <v>358</v>
      </c>
      <c r="C46" s="29">
        <f t="shared" si="2"/>
        <v>32.87863636363636</v>
      </c>
      <c r="D46" s="262">
        <f t="shared" si="1"/>
        <v>5.6299034869240344E-6</v>
      </c>
      <c r="E46" s="3" t="s">
        <v>370</v>
      </c>
      <c r="F46" s="3" t="s">
        <v>74</v>
      </c>
      <c r="G46" s="3" t="s">
        <v>350</v>
      </c>
    </row>
    <row r="47" spans="1:8" ht="15.6" customHeight="1">
      <c r="A47" s="3" t="s">
        <v>359</v>
      </c>
      <c r="B47" s="3" t="s">
        <v>360</v>
      </c>
      <c r="C47" s="29">
        <f>((C14*$C$41)/2.2)/1000</f>
        <v>2454.9381818181819</v>
      </c>
      <c r="D47" s="262">
        <f t="shared" si="1"/>
        <v>4.2036612702366126E-4</v>
      </c>
      <c r="E47" s="3" t="s">
        <v>370</v>
      </c>
      <c r="F47" s="3" t="s">
        <v>74</v>
      </c>
      <c r="G47" s="3" t="s">
        <v>350</v>
      </c>
    </row>
    <row r="48" spans="1:8" ht="27.95">
      <c r="A48" s="1" t="s">
        <v>92</v>
      </c>
      <c r="B48" s="1"/>
      <c r="C48" s="1"/>
      <c r="D48" s="264"/>
      <c r="E48" s="1"/>
      <c r="F48" s="1"/>
      <c r="G48" s="1"/>
    </row>
    <row r="49" spans="1:7">
      <c r="A49" s="7" t="s">
        <v>93</v>
      </c>
      <c r="B49" s="7" t="s">
        <v>66</v>
      </c>
      <c r="C49" s="7" t="s">
        <v>67</v>
      </c>
      <c r="D49" s="265"/>
      <c r="E49" s="7" t="s">
        <v>68</v>
      </c>
      <c r="F49" s="7" t="s">
        <v>69</v>
      </c>
      <c r="G49" s="7" t="s">
        <v>70</v>
      </c>
    </row>
    <row r="50" spans="1:7">
      <c r="A50" s="3" t="s">
        <v>94</v>
      </c>
      <c r="B50" s="3" t="s">
        <v>98</v>
      </c>
      <c r="C50" s="3">
        <f>(C36+C37+83.06)*365</f>
        <v>1483929.4</v>
      </c>
      <c r="D50" s="263">
        <f>(C50*20)/$D$33</f>
        <v>5.08195</v>
      </c>
      <c r="E50" s="3" t="s">
        <v>124</v>
      </c>
      <c r="F50" s="3" t="s">
        <v>74</v>
      </c>
      <c r="G50" s="3"/>
    </row>
    <row r="51" spans="1:7">
      <c r="A51" s="3" t="s">
        <v>101</v>
      </c>
      <c r="B51" s="3" t="s">
        <v>361</v>
      </c>
      <c r="C51" s="29">
        <v>1276.04</v>
      </c>
      <c r="D51" s="263">
        <f t="shared" ref="D51:D52" si="3">(C51*20)/$D$33</f>
        <v>4.3699999999999998E-3</v>
      </c>
      <c r="E51" s="3" t="s">
        <v>371</v>
      </c>
      <c r="F51" s="3" t="s">
        <v>362</v>
      </c>
      <c r="G51" s="3" t="s">
        <v>363</v>
      </c>
    </row>
    <row r="52" spans="1:7">
      <c r="A52" s="3" t="s">
        <v>101</v>
      </c>
      <c r="B52" s="3" t="s">
        <v>361</v>
      </c>
      <c r="C52" s="29">
        <v>123.24902857142858</v>
      </c>
      <c r="D52" s="263">
        <f t="shared" si="3"/>
        <v>4.2208571428571434E-4</v>
      </c>
      <c r="E52" s="3" t="s">
        <v>371</v>
      </c>
      <c r="F52" s="3" t="s">
        <v>362</v>
      </c>
      <c r="G52" s="3" t="s">
        <v>364</v>
      </c>
    </row>
    <row r="53" spans="1:7">
      <c r="A53" s="3" t="s">
        <v>101</v>
      </c>
      <c r="B53" s="3" t="s">
        <v>112</v>
      </c>
      <c r="C53" s="3">
        <v>0.6</v>
      </c>
      <c r="D53" s="3"/>
      <c r="E53" s="3" t="s">
        <v>113</v>
      </c>
      <c r="F53" s="3" t="s">
        <v>74</v>
      </c>
      <c r="G53" s="3" t="s">
        <v>365</v>
      </c>
    </row>
    <row r="54" spans="1:7">
      <c r="A54" s="472" t="s">
        <v>115</v>
      </c>
      <c r="B54" s="472"/>
      <c r="C54" s="472"/>
      <c r="D54" s="472"/>
      <c r="E54" s="472"/>
      <c r="F54" s="472"/>
      <c r="G54" s="472"/>
    </row>
    <row r="55" spans="1:7">
      <c r="A55" s="7" t="s">
        <v>93</v>
      </c>
      <c r="B55" s="7" t="s">
        <v>66</v>
      </c>
      <c r="C55" s="7" t="s">
        <v>67</v>
      </c>
      <c r="D55" s="7"/>
      <c r="E55" s="7" t="s">
        <v>68</v>
      </c>
      <c r="F55" s="7" t="s">
        <v>69</v>
      </c>
      <c r="G55" s="7" t="s">
        <v>70</v>
      </c>
    </row>
    <row r="56" spans="1:7" ht="27.95">
      <c r="A56" s="3" t="s">
        <v>116</v>
      </c>
      <c r="B56" s="3" t="s">
        <v>117</v>
      </c>
      <c r="C56" s="30">
        <f>SUM(C42:C47)+C38+C40</f>
        <v>12992.798863636364</v>
      </c>
      <c r="D56" s="262">
        <f t="shared" ref="D56" si="4">C56/$D$33</f>
        <v>2.2247943259651307E-3</v>
      </c>
      <c r="E56" s="3" t="s">
        <v>73</v>
      </c>
      <c r="F56" s="3" t="s">
        <v>96</v>
      </c>
      <c r="G56" s="3" t="s">
        <v>118</v>
      </c>
    </row>
    <row r="62" spans="1:7">
      <c r="C62" s="103"/>
      <c r="D62" s="103"/>
    </row>
  </sheetData>
  <mergeCells count="4">
    <mergeCell ref="A54:G54"/>
    <mergeCell ref="A2:G2"/>
    <mergeCell ref="A22:G22"/>
    <mergeCell ref="A34:G34"/>
  </mergeCells>
  <phoneticPr fontId="1" type="noConversion"/>
  <hyperlinks>
    <hyperlink ref="H36" r:id="rId1" xr:uid="{E987A1C6-BF18-48D0-B27E-879E43E2B65B}"/>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86837-011D-4F1F-91B9-375D1DFA6520}">
  <sheetPr>
    <tabColor theme="9" tint="0.39997558519241921"/>
  </sheetPr>
  <dimension ref="A1:I30"/>
  <sheetViews>
    <sheetView zoomScale="89" workbookViewId="0">
      <selection activeCell="I28" sqref="I28"/>
    </sheetView>
  </sheetViews>
  <sheetFormatPr defaultColWidth="8.85546875" defaultRowHeight="14.1"/>
  <cols>
    <col min="1" max="1" width="14.140625" style="4" customWidth="1"/>
    <col min="2" max="2" width="28.42578125" style="4" customWidth="1"/>
    <col min="3" max="4" width="14" style="4" customWidth="1"/>
    <col min="5" max="5" width="8.28515625" style="4" customWidth="1"/>
    <col min="6" max="6" width="21.7109375" style="4" customWidth="1"/>
    <col min="7" max="7" width="43.5703125" style="4" customWidth="1"/>
    <col min="8" max="8" width="10.5703125" style="4" bestFit="1" customWidth="1"/>
    <col min="9" max="9" width="11.5703125" style="4" bestFit="1" customWidth="1"/>
    <col min="10" max="16384" width="8.85546875" style="4"/>
  </cols>
  <sheetData>
    <row r="1" spans="1:9" ht="14.45" customHeight="1">
      <c r="A1" s="8" t="s">
        <v>62</v>
      </c>
      <c r="B1" s="8" t="s">
        <v>331</v>
      </c>
      <c r="C1" s="4" t="s">
        <v>332</v>
      </c>
      <c r="D1" s="4">
        <f>0.6*365*20</f>
        <v>4380</v>
      </c>
    </row>
    <row r="2" spans="1:9" ht="12" customHeight="1">
      <c r="A2" s="472" t="s">
        <v>372</v>
      </c>
      <c r="B2" s="472"/>
      <c r="C2" s="472"/>
      <c r="D2" s="472"/>
      <c r="E2" s="472"/>
      <c r="F2" s="472"/>
      <c r="G2" s="472"/>
    </row>
    <row r="3" spans="1:9">
      <c r="A3" s="7" t="s">
        <v>65</v>
      </c>
      <c r="B3" s="7" t="s">
        <v>66</v>
      </c>
      <c r="C3" s="7" t="s">
        <v>67</v>
      </c>
      <c r="D3" s="7" t="s">
        <v>154</v>
      </c>
      <c r="E3" s="7" t="s">
        <v>68</v>
      </c>
      <c r="F3" s="7" t="s">
        <v>69</v>
      </c>
      <c r="G3" s="7" t="s">
        <v>373</v>
      </c>
    </row>
    <row r="4" spans="1:9" ht="27.95">
      <c r="A4" s="3" t="s">
        <v>334</v>
      </c>
      <c r="B4" s="3" t="s">
        <v>335</v>
      </c>
      <c r="C4" s="6">
        <f>346*4</f>
        <v>1384</v>
      </c>
      <c r="D4" s="30">
        <f>C4/$D$1</f>
        <v>0.31598173515981737</v>
      </c>
      <c r="E4" s="6" t="s">
        <v>156</v>
      </c>
      <c r="F4" s="3" t="s">
        <v>74</v>
      </c>
      <c r="G4" s="3" t="s">
        <v>374</v>
      </c>
    </row>
    <row r="5" spans="1:9">
      <c r="A5" s="3" t="s">
        <v>337</v>
      </c>
      <c r="B5" s="3" t="s">
        <v>338</v>
      </c>
      <c r="C5" s="3">
        <f>2437.5*3</f>
        <v>7312.5</v>
      </c>
      <c r="D5" s="30">
        <f>C5/$D$1</f>
        <v>1.6695205479452055</v>
      </c>
      <c r="E5" s="6" t="s">
        <v>156</v>
      </c>
      <c r="F5" s="3" t="s">
        <v>74</v>
      </c>
      <c r="G5" s="3" t="s">
        <v>375</v>
      </c>
    </row>
    <row r="6" spans="1:9">
      <c r="A6" s="3"/>
      <c r="B6" s="3" t="s">
        <v>340</v>
      </c>
      <c r="C6" s="3">
        <f>9.9*75</f>
        <v>742.5</v>
      </c>
      <c r="D6" s="30">
        <f t="shared" ref="D6:D14" si="0">C6/$D$1</f>
        <v>0.16952054794520549</v>
      </c>
      <c r="E6" s="6" t="s">
        <v>156</v>
      </c>
      <c r="F6" s="3" t="s">
        <v>74</v>
      </c>
      <c r="G6" s="3" t="s">
        <v>376</v>
      </c>
    </row>
    <row r="7" spans="1:9" ht="15.6" customHeight="1">
      <c r="A7" s="3" t="s">
        <v>345</v>
      </c>
      <c r="B7" s="3" t="s">
        <v>377</v>
      </c>
      <c r="C7" s="29">
        <f>(3*43649)/500</f>
        <v>261.89400000000001</v>
      </c>
      <c r="D7" s="30">
        <f t="shared" si="0"/>
        <v>5.9793150684931511E-2</v>
      </c>
      <c r="E7" s="6" t="s">
        <v>156</v>
      </c>
      <c r="F7" s="3" t="s">
        <v>74</v>
      </c>
      <c r="G7" s="3" t="s">
        <v>378</v>
      </c>
    </row>
    <row r="8" spans="1:9" ht="15.6" customHeight="1">
      <c r="A8" s="3" t="s">
        <v>348</v>
      </c>
      <c r="B8" s="3" t="s">
        <v>349</v>
      </c>
      <c r="C8" s="29">
        <f>(S5_CW_Inventory!C9*37.8)/1400</f>
        <v>8.8559999999999999</v>
      </c>
      <c r="D8" s="30">
        <f t="shared" si="0"/>
        <v>2.021917808219178E-3</v>
      </c>
      <c r="E8" s="6" t="s">
        <v>156</v>
      </c>
      <c r="F8" s="3" t="s">
        <v>74</v>
      </c>
      <c r="G8" s="3" t="s">
        <v>379</v>
      </c>
      <c r="H8" s="46">
        <f>37.8/1400</f>
        <v>2.7E-2</v>
      </c>
      <c r="I8" s="34"/>
    </row>
    <row r="9" spans="1:9" ht="15.6" customHeight="1">
      <c r="A9" s="3" t="s">
        <v>351</v>
      </c>
      <c r="B9" s="3" t="s">
        <v>352</v>
      </c>
      <c r="C9" s="3">
        <f>S5_CW_Inventory!C10*0.5</f>
        <v>60</v>
      </c>
      <c r="D9" s="30">
        <f t="shared" si="0"/>
        <v>1.3698630136986301E-2</v>
      </c>
      <c r="E9" s="6" t="s">
        <v>156</v>
      </c>
      <c r="F9" s="3" t="s">
        <v>74</v>
      </c>
      <c r="G9" s="3"/>
      <c r="H9" s="47">
        <f>H8/1000</f>
        <v>2.6999999999999999E-5</v>
      </c>
    </row>
    <row r="10" spans="1:9" ht="15.6" customHeight="1">
      <c r="A10" s="3" t="s">
        <v>353</v>
      </c>
      <c r="B10" s="3" t="s">
        <v>354</v>
      </c>
      <c r="C10" s="3">
        <f>S5_CW_Inventory!C11*0.5</f>
        <v>40</v>
      </c>
      <c r="D10" s="30">
        <f t="shared" si="0"/>
        <v>9.1324200913242004E-3</v>
      </c>
      <c r="E10" s="6" t="s">
        <v>156</v>
      </c>
      <c r="F10" s="3" t="s">
        <v>74</v>
      </c>
      <c r="G10" s="3"/>
    </row>
    <row r="11" spans="1:9" ht="15.6" customHeight="1">
      <c r="A11" s="3" t="s">
        <v>355</v>
      </c>
      <c r="B11" s="3" t="s">
        <v>356</v>
      </c>
      <c r="C11" s="29">
        <f>(S5_CW_Inventory!C12*41)/9</f>
        <v>77.444444444444443</v>
      </c>
      <c r="D11" s="30">
        <f t="shared" si="0"/>
        <v>1.7681380010147133E-2</v>
      </c>
      <c r="E11" s="6" t="s">
        <v>156</v>
      </c>
      <c r="F11" s="3" t="s">
        <v>74</v>
      </c>
      <c r="G11" s="3" t="s">
        <v>380</v>
      </c>
    </row>
    <row r="12" spans="1:9" ht="15.6" customHeight="1">
      <c r="A12" s="3" t="s">
        <v>357</v>
      </c>
      <c r="B12" s="3" t="s">
        <v>358</v>
      </c>
      <c r="C12" s="3">
        <f>S5_CW_Inventory!C13*4.3</f>
        <v>77.399999999999991</v>
      </c>
      <c r="D12" s="30">
        <f t="shared" si="0"/>
        <v>1.7671232876712326E-2</v>
      </c>
      <c r="E12" s="6" t="s">
        <v>156</v>
      </c>
      <c r="F12" s="3" t="s">
        <v>74</v>
      </c>
      <c r="G12" s="3"/>
    </row>
    <row r="13" spans="1:9" ht="15.6" customHeight="1">
      <c r="A13" s="3" t="s">
        <v>359</v>
      </c>
      <c r="B13" s="3" t="s">
        <v>360</v>
      </c>
      <c r="C13" s="3">
        <f>S5_CW_Inventory!C14*0.5</f>
        <v>672</v>
      </c>
      <c r="D13" s="30">
        <f t="shared" si="0"/>
        <v>0.15342465753424658</v>
      </c>
      <c r="E13" s="6" t="s">
        <v>156</v>
      </c>
      <c r="F13" s="3" t="s">
        <v>74</v>
      </c>
      <c r="G13" s="3"/>
    </row>
    <row r="14" spans="1:9" ht="15.6" customHeight="1">
      <c r="A14" s="3"/>
      <c r="B14" s="3" t="s">
        <v>130</v>
      </c>
      <c r="C14" s="3">
        <f>3.3*3</f>
        <v>9.8999999999999986</v>
      </c>
      <c r="D14" s="30">
        <f t="shared" si="0"/>
        <v>2.2602739726027394E-3</v>
      </c>
      <c r="E14" s="6" t="s">
        <v>156</v>
      </c>
      <c r="F14" s="3" t="s">
        <v>74</v>
      </c>
      <c r="G14" s="3" t="s">
        <v>381</v>
      </c>
    </row>
    <row r="15" spans="1:9">
      <c r="A15" s="35" t="s">
        <v>147</v>
      </c>
      <c r="B15" s="33"/>
      <c r="C15" s="38">
        <f>SUM(C4:C14)</f>
        <v>10646.494444444445</v>
      </c>
      <c r="D15" s="36">
        <f>C15/D1</f>
        <v>2.4307064941653982</v>
      </c>
      <c r="E15" s="33" t="s">
        <v>156</v>
      </c>
      <c r="F15" s="33"/>
      <c r="G15" s="33"/>
    </row>
    <row r="16" spans="1:9">
      <c r="A16" s="2"/>
    </row>
    <row r="17" spans="1:7">
      <c r="A17" s="472" t="s">
        <v>382</v>
      </c>
      <c r="B17" s="472"/>
      <c r="C17" s="472"/>
      <c r="D17" s="472"/>
      <c r="E17" s="472"/>
      <c r="F17" s="472"/>
      <c r="G17" s="472"/>
    </row>
    <row r="18" spans="1:7">
      <c r="A18" s="7" t="s">
        <v>93</v>
      </c>
      <c r="B18" s="7" t="s">
        <v>66</v>
      </c>
      <c r="C18" s="7" t="s">
        <v>67</v>
      </c>
      <c r="D18" s="7" t="s">
        <v>154</v>
      </c>
      <c r="E18" s="7" t="s">
        <v>68</v>
      </c>
      <c r="F18" s="7" t="s">
        <v>69</v>
      </c>
      <c r="G18" s="7" t="s">
        <v>155</v>
      </c>
    </row>
    <row r="19" spans="1:7">
      <c r="A19" s="3" t="s">
        <v>94</v>
      </c>
      <c r="B19" s="3" t="s">
        <v>98</v>
      </c>
      <c r="C19" s="29">
        <f>184*0.122*365</f>
        <v>8193.52</v>
      </c>
      <c r="D19" s="29">
        <f>(C19*20)/D1</f>
        <v>37.413333333333341</v>
      </c>
      <c r="E19" s="6" t="s">
        <v>170</v>
      </c>
      <c r="F19" s="3" t="s">
        <v>74</v>
      </c>
      <c r="G19" s="3"/>
    </row>
    <row r="20" spans="1:7" ht="16.149999999999999" customHeight="1">
      <c r="A20" s="3" t="s">
        <v>101</v>
      </c>
      <c r="B20" s="3" t="s">
        <v>383</v>
      </c>
      <c r="C20" s="29">
        <f>1907*0.055</f>
        <v>104.88500000000001</v>
      </c>
      <c r="D20" s="29">
        <f>(C20*20)/D1</f>
        <v>0.47892694063926949</v>
      </c>
      <c r="E20" s="6" t="s">
        <v>170</v>
      </c>
      <c r="F20" s="3" t="s">
        <v>74</v>
      </c>
      <c r="G20" s="3"/>
    </row>
    <row r="21" spans="1:7">
      <c r="A21" s="35" t="s">
        <v>384</v>
      </c>
      <c r="B21" s="35"/>
      <c r="C21" s="38">
        <f>C19+C20</f>
        <v>8298.4050000000007</v>
      </c>
      <c r="D21" s="38">
        <f>SUM(D19:D20)</f>
        <v>37.89226027397261</v>
      </c>
      <c r="E21" s="35"/>
      <c r="F21" s="35"/>
      <c r="G21" s="35"/>
    </row>
    <row r="22" spans="1:7">
      <c r="A22" s="35" t="s">
        <v>385</v>
      </c>
      <c r="B22" s="35"/>
      <c r="C22" s="38">
        <f>C15*0.05</f>
        <v>532.32472222222225</v>
      </c>
      <c r="D22" s="38">
        <f>C22/D1</f>
        <v>0.12153532470826992</v>
      </c>
      <c r="E22" s="35"/>
      <c r="F22" s="35"/>
      <c r="G22" s="35"/>
    </row>
    <row r="24" spans="1:7">
      <c r="A24" s="472" t="s">
        <v>386</v>
      </c>
      <c r="B24" s="472"/>
      <c r="C24" s="472"/>
      <c r="D24" s="472"/>
      <c r="E24" s="472"/>
      <c r="F24" s="472"/>
      <c r="G24" s="472"/>
    </row>
    <row r="25" spans="1:7">
      <c r="A25" s="7" t="s">
        <v>93</v>
      </c>
      <c r="B25" s="7" t="s">
        <v>66</v>
      </c>
      <c r="C25" s="7" t="s">
        <v>67</v>
      </c>
      <c r="D25" s="7" t="s">
        <v>154</v>
      </c>
      <c r="E25" s="7" t="s">
        <v>68</v>
      </c>
      <c r="F25" s="7" t="s">
        <v>69</v>
      </c>
      <c r="G25" s="7" t="s">
        <v>155</v>
      </c>
    </row>
    <row r="26" spans="1:7">
      <c r="A26" s="3" t="s">
        <v>116</v>
      </c>
      <c r="B26" s="3" t="s">
        <v>117</v>
      </c>
      <c r="C26" s="6">
        <f>S5_CW_Inventory!C24*0.055</f>
        <v>106.47494</v>
      </c>
      <c r="D26" s="30">
        <f>C26/D1</f>
        <v>2.4309347031963472E-2</v>
      </c>
      <c r="E26" s="6" t="s">
        <v>156</v>
      </c>
      <c r="F26" s="3"/>
      <c r="G26" s="3"/>
    </row>
    <row r="28" spans="1:7">
      <c r="A28" s="39" t="s">
        <v>180</v>
      </c>
      <c r="B28" s="39"/>
      <c r="C28" s="40">
        <f>C15+(C21*20)+C22+C26</f>
        <v>177253.39410666667</v>
      </c>
      <c r="D28" s="40">
        <f>D22+D26+D15+D21</f>
        <v>40.468811439878245</v>
      </c>
      <c r="E28" s="39"/>
      <c r="F28" s="39"/>
      <c r="G28" s="39"/>
    </row>
    <row r="30" spans="1:7">
      <c r="A30" s="5" t="s">
        <v>119</v>
      </c>
      <c r="B30" s="5" t="s">
        <v>120</v>
      </c>
    </row>
  </sheetData>
  <mergeCells count="3">
    <mergeCell ref="A2:G2"/>
    <mergeCell ref="A17:G17"/>
    <mergeCell ref="A24:G24"/>
  </mergeCells>
  <phoneticPr fontId="1"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6228-88DE-4144-85A7-C1B6A9861043}">
  <sheetPr>
    <tabColor theme="9" tint="0.39997558519241921"/>
  </sheetPr>
  <dimension ref="A1:K31"/>
  <sheetViews>
    <sheetView zoomScale="103" zoomScaleNormal="70" workbookViewId="0">
      <selection activeCell="B16" sqref="B16"/>
    </sheetView>
  </sheetViews>
  <sheetFormatPr defaultColWidth="9.140625" defaultRowHeight="14.1"/>
  <cols>
    <col min="1" max="1" width="21.85546875" style="10" customWidth="1"/>
    <col min="2" max="2" width="20.140625" style="10" customWidth="1"/>
    <col min="3" max="3" width="17.5703125" style="10" customWidth="1"/>
    <col min="4" max="4" width="24.5703125" style="10" customWidth="1"/>
    <col min="5" max="5" width="12" style="10" bestFit="1" customWidth="1"/>
    <col min="6" max="6" width="18.140625" style="10" customWidth="1"/>
    <col min="7" max="16384" width="9.140625" style="10"/>
  </cols>
  <sheetData>
    <row r="1" spans="1:7">
      <c r="A1" s="14" t="s">
        <v>387</v>
      </c>
    </row>
    <row r="2" spans="1:7">
      <c r="A2" s="11" t="s">
        <v>388</v>
      </c>
      <c r="B2" s="11" t="s">
        <v>389</v>
      </c>
      <c r="C2" s="11" t="s">
        <v>390</v>
      </c>
      <c r="D2" s="11" t="s">
        <v>391</v>
      </c>
      <c r="E2" s="11" t="s">
        <v>392</v>
      </c>
      <c r="F2" s="11" t="s">
        <v>393</v>
      </c>
      <c r="G2" s="11" t="s">
        <v>394</v>
      </c>
    </row>
    <row r="3" spans="1:7">
      <c r="A3" s="11">
        <f>B3*C3</f>
        <v>0.61249920000000002</v>
      </c>
      <c r="B3" s="11">
        <f>D3*E3*365</f>
        <v>38.281199999999998</v>
      </c>
      <c r="C3" s="11">
        <f>(G3*F3)</f>
        <v>1.6E-2</v>
      </c>
      <c r="D3" s="11">
        <f>B24</f>
        <v>0.17480000000000001</v>
      </c>
      <c r="E3" s="11">
        <f>B20</f>
        <v>0.6</v>
      </c>
      <c r="F3" s="11">
        <v>0.25</v>
      </c>
      <c r="G3" s="11">
        <f>((B14*C14)+(B15*C15))/B16</f>
        <v>6.4000000000000001E-2</v>
      </c>
    </row>
    <row r="5" spans="1:7">
      <c r="A5" s="11" t="s">
        <v>395</v>
      </c>
      <c r="B5" s="11" t="s">
        <v>396</v>
      </c>
      <c r="C5" s="11" t="s">
        <v>397</v>
      </c>
      <c r="D5" s="11" t="s">
        <v>392</v>
      </c>
    </row>
    <row r="6" spans="1:7">
      <c r="A6" s="11">
        <f>C6*B6*(44/28)</f>
        <v>5.6538541714285726E-2</v>
      </c>
      <c r="B6" s="11">
        <f>((D14*B14)+(D15*B15))/B16</f>
        <v>4.8320000000000004E-3</v>
      </c>
      <c r="C6" s="11">
        <f>B25*(D6*365)</f>
        <v>7.4460000000000006</v>
      </c>
      <c r="D6" s="11">
        <f>B20</f>
        <v>0.6</v>
      </c>
    </row>
    <row r="7" spans="1:7">
      <c r="A7" s="13">
        <f>A3*20</f>
        <v>12.249984000000001</v>
      </c>
    </row>
    <row r="8" spans="1:7">
      <c r="A8" s="13">
        <f>A6*20</f>
        <v>1.1307708342857146</v>
      </c>
    </row>
    <row r="12" spans="1:7" ht="27.95">
      <c r="A12" s="15" t="s">
        <v>398</v>
      </c>
      <c r="B12" s="11"/>
      <c r="C12" s="11" t="s">
        <v>399</v>
      </c>
      <c r="D12" s="11" t="s">
        <v>400</v>
      </c>
    </row>
    <row r="13" spans="1:7">
      <c r="A13" s="11"/>
      <c r="B13" s="11" t="s">
        <v>401</v>
      </c>
      <c r="C13" s="11" t="s">
        <v>402</v>
      </c>
      <c r="D13" s="11" t="s">
        <v>396</v>
      </c>
    </row>
    <row r="14" spans="1:7">
      <c r="A14" s="11" t="s">
        <v>403</v>
      </c>
      <c r="B14" s="11">
        <v>9000</v>
      </c>
      <c r="C14" s="11">
        <v>0.1</v>
      </c>
      <c r="D14" s="11">
        <v>7.9000000000000008E-3</v>
      </c>
      <c r="E14" s="102" t="s">
        <v>404</v>
      </c>
    </row>
    <row r="15" spans="1:7">
      <c r="A15" s="11" t="s">
        <v>405</v>
      </c>
      <c r="B15" s="11">
        <v>6000</v>
      </c>
      <c r="C15" s="11">
        <v>0.01</v>
      </c>
      <c r="D15" s="11">
        <v>2.3000000000000001E-4</v>
      </c>
    </row>
    <row r="16" spans="1:7">
      <c r="A16" s="11" t="s">
        <v>406</v>
      </c>
      <c r="B16" s="11">
        <f>SUM(B14:B15)</f>
        <v>15000</v>
      </c>
      <c r="C16" s="11"/>
      <c r="D16" s="16"/>
    </row>
    <row r="18" spans="1:11">
      <c r="D18" s="17"/>
    </row>
    <row r="19" spans="1:11">
      <c r="A19" s="10" t="s">
        <v>407</v>
      </c>
    </row>
    <row r="20" spans="1:11" ht="27.95">
      <c r="A20" s="18" t="s">
        <v>408</v>
      </c>
      <c r="B20" s="10">
        <v>0.6</v>
      </c>
      <c r="C20" s="10" t="s">
        <v>409</v>
      </c>
      <c r="D20" s="10" t="s">
        <v>410</v>
      </c>
    </row>
    <row r="23" spans="1:11" ht="27.95">
      <c r="A23" s="18" t="s">
        <v>411</v>
      </c>
    </row>
    <row r="24" spans="1:11">
      <c r="A24" s="11" t="s">
        <v>412</v>
      </c>
      <c r="B24" s="11">
        <v>0.17480000000000001</v>
      </c>
      <c r="C24" s="11" t="s">
        <v>413</v>
      </c>
      <c r="D24" s="10" t="s">
        <v>414</v>
      </c>
    </row>
    <row r="25" spans="1:11">
      <c r="A25" s="11" t="s">
        <v>415</v>
      </c>
      <c r="B25" s="11">
        <v>3.4000000000000002E-2</v>
      </c>
      <c r="C25" s="11" t="s">
        <v>413</v>
      </c>
    </row>
    <row r="26" spans="1:11">
      <c r="I26" s="11" t="s">
        <v>416</v>
      </c>
      <c r="J26" s="11" t="s">
        <v>417</v>
      </c>
      <c r="K26" s="11" t="s">
        <v>418</v>
      </c>
    </row>
    <row r="27" spans="1:11">
      <c r="A27" s="11" t="s">
        <v>419</v>
      </c>
      <c r="B27" s="11" t="s">
        <v>420</v>
      </c>
      <c r="C27" s="11" t="s">
        <v>421</v>
      </c>
      <c r="D27" s="11" t="s">
        <v>422</v>
      </c>
      <c r="E27" s="11" t="s">
        <v>413</v>
      </c>
      <c r="I27" s="11">
        <v>17941.1224</v>
      </c>
      <c r="J27" s="11">
        <v>16333.312000000002</v>
      </c>
      <c r="K27" s="11">
        <v>17826.278799999996</v>
      </c>
    </row>
    <row r="28" spans="1:11">
      <c r="A28" s="11">
        <v>34.01</v>
      </c>
      <c r="B28" s="19">
        <v>6.1000000000000004E-3</v>
      </c>
      <c r="C28" s="11">
        <f>(A28*B28)/100</f>
        <v>2.0746100000000002E-3</v>
      </c>
      <c r="D28" s="11">
        <f>A28-C28</f>
        <v>34.007925389999997</v>
      </c>
      <c r="E28" s="11">
        <f>D28/1000</f>
        <v>3.4007925389999999E-2</v>
      </c>
      <c r="I28" s="11">
        <v>1675.219517714286</v>
      </c>
      <c r="J28" s="11">
        <v>1507.6944457142858</v>
      </c>
      <c r="K28" s="11">
        <v>1663.2534411428571</v>
      </c>
    </row>
    <row r="30" spans="1:11">
      <c r="A30" s="11" t="s">
        <v>423</v>
      </c>
      <c r="B30" s="11" t="s">
        <v>424</v>
      </c>
      <c r="C30" s="11" t="s">
        <v>425</v>
      </c>
      <c r="D30" s="11" t="s">
        <v>426</v>
      </c>
      <c r="E30" s="11" t="s">
        <v>413</v>
      </c>
    </row>
    <row r="31" spans="1:11">
      <c r="A31" s="11">
        <v>374.14</v>
      </c>
      <c r="B31" s="11">
        <v>53.28</v>
      </c>
      <c r="C31" s="11">
        <f>(A31*B31)/100</f>
        <v>199.341792</v>
      </c>
      <c r="D31" s="11">
        <f>A31-C31</f>
        <v>174.79820799999999</v>
      </c>
      <c r="E31" s="11">
        <f>D31/1000</f>
        <v>0.17479820799999998</v>
      </c>
    </row>
  </sheetData>
  <hyperlinks>
    <hyperlink ref="A1" r:id="rId1" xr:uid="{1C2ADC00-B96C-400C-9264-3B242E51A51E}"/>
  </hyperlinks>
  <pageMargins left="0.7" right="0.7" top="0.75" bottom="0.75" header="0.3" footer="0.3"/>
  <pageSetup paperSize="9" orientation="portrait" r:id="rId2"/>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6966-EA0C-4C3F-9064-BFFD28FC3073}">
  <sheetPr>
    <tabColor theme="4" tint="0.39997558519241921"/>
  </sheetPr>
  <dimension ref="A1:U56"/>
  <sheetViews>
    <sheetView topLeftCell="A13" zoomScale="89" workbookViewId="0">
      <selection activeCell="D56" sqref="D56"/>
    </sheetView>
  </sheetViews>
  <sheetFormatPr defaultColWidth="8.85546875" defaultRowHeight="14.1"/>
  <cols>
    <col min="1" max="1" width="18.42578125" style="4" customWidth="1"/>
    <col min="2" max="2" width="28.42578125" style="4" customWidth="1"/>
    <col min="3" max="4" width="14" style="4" customWidth="1"/>
    <col min="5" max="5" width="8.28515625" style="4" customWidth="1"/>
    <col min="6" max="6" width="21.7109375" style="4" customWidth="1"/>
    <col min="7" max="7" width="43.5703125" style="4" customWidth="1"/>
    <col min="8" max="13" width="8.85546875" style="4"/>
    <col min="14" max="14" width="11.5703125" style="4" bestFit="1" customWidth="1"/>
    <col min="15" max="16384" width="8.85546875" style="4"/>
  </cols>
  <sheetData>
    <row r="1" spans="1:21" ht="14.45" customHeight="1">
      <c r="A1" s="8" t="s">
        <v>62</v>
      </c>
      <c r="B1" s="8" t="s">
        <v>427</v>
      </c>
      <c r="C1" s="4">
        <f>0.01*365*20</f>
        <v>73</v>
      </c>
      <c r="F1" s="4">
        <f>73*0.16</f>
        <v>11.68</v>
      </c>
    </row>
    <row r="2" spans="1:21" ht="12" customHeight="1">
      <c r="A2" s="472" t="s">
        <v>64</v>
      </c>
      <c r="B2" s="472"/>
      <c r="C2" s="472"/>
      <c r="D2" s="472"/>
      <c r="E2" s="472"/>
      <c r="F2" s="472"/>
      <c r="G2" s="472"/>
      <c r="J2" s="9"/>
      <c r="K2" s="9"/>
      <c r="L2" s="9"/>
      <c r="M2" s="9"/>
      <c r="N2" s="9"/>
      <c r="O2" s="9"/>
      <c r="P2" s="9"/>
      <c r="Q2" s="9"/>
      <c r="R2" s="9"/>
      <c r="S2" s="9"/>
      <c r="T2" s="9"/>
      <c r="U2" s="9"/>
    </row>
    <row r="3" spans="1:21">
      <c r="A3" s="7" t="s">
        <v>65</v>
      </c>
      <c r="B3" s="7" t="s">
        <v>66</v>
      </c>
      <c r="C3" s="7" t="s">
        <v>67</v>
      </c>
      <c r="D3" s="7"/>
      <c r="E3" s="7" t="s">
        <v>68</v>
      </c>
      <c r="F3" s="7" t="s">
        <v>69</v>
      </c>
      <c r="G3" s="7" t="s">
        <v>70</v>
      </c>
      <c r="J3" s="9"/>
      <c r="K3" s="9"/>
      <c r="L3" s="9"/>
      <c r="M3" s="9"/>
      <c r="N3" s="9"/>
      <c r="O3" s="9"/>
      <c r="P3" s="9"/>
      <c r="Q3" s="9"/>
      <c r="R3" s="9"/>
      <c r="S3" s="9"/>
      <c r="T3" s="9"/>
      <c r="U3" s="9"/>
    </row>
    <row r="4" spans="1:21" ht="27.95">
      <c r="A4" s="3"/>
      <c r="B4" s="3" t="s">
        <v>428</v>
      </c>
      <c r="C4" s="262">
        <v>7.0000000000000007E-2</v>
      </c>
      <c r="D4" s="262"/>
      <c r="E4" s="3" t="s">
        <v>429</v>
      </c>
      <c r="F4" s="3" t="s">
        <v>74</v>
      </c>
      <c r="G4" s="3" t="s">
        <v>75</v>
      </c>
      <c r="J4" s="9"/>
      <c r="K4" s="9"/>
      <c r="L4" s="9"/>
      <c r="M4" s="9"/>
      <c r="N4" s="9"/>
      <c r="O4" s="9"/>
      <c r="P4" s="9"/>
      <c r="Q4" s="9"/>
      <c r="R4" s="9"/>
      <c r="S4" s="9"/>
      <c r="T4" s="9"/>
      <c r="U4" s="9"/>
    </row>
    <row r="5" spans="1:21" ht="27.95">
      <c r="A5" s="3"/>
      <c r="B5" s="3" t="s">
        <v>430</v>
      </c>
      <c r="C5" s="263">
        <v>8.2000000000000003E-2</v>
      </c>
      <c r="D5" s="263"/>
      <c r="E5" s="3" t="s">
        <v>431</v>
      </c>
      <c r="F5" s="3" t="s">
        <v>74</v>
      </c>
      <c r="G5" s="3" t="s">
        <v>75</v>
      </c>
      <c r="J5" s="9"/>
      <c r="K5" s="9"/>
      <c r="L5" s="9"/>
      <c r="M5" s="9"/>
      <c r="N5" s="9"/>
      <c r="O5" s="9"/>
      <c r="P5" s="9"/>
      <c r="Q5" s="9"/>
      <c r="R5" s="9"/>
      <c r="S5" s="9"/>
      <c r="T5" s="9"/>
      <c r="U5" s="9"/>
    </row>
    <row r="6" spans="1:21">
      <c r="A6" s="3"/>
      <c r="B6" s="3" t="s">
        <v>432</v>
      </c>
      <c r="C6" s="263">
        <v>5</v>
      </c>
      <c r="D6" s="263">
        <f>5/22000</f>
        <v>2.2727272727272727E-4</v>
      </c>
      <c r="E6" s="3" t="s">
        <v>78</v>
      </c>
      <c r="F6" s="3"/>
      <c r="G6" s="3"/>
      <c r="J6" s="9"/>
      <c r="K6" s="9"/>
      <c r="L6" s="9"/>
      <c r="M6" s="9"/>
      <c r="N6" s="9"/>
      <c r="O6" s="9"/>
      <c r="P6" s="9"/>
      <c r="Q6" s="9"/>
      <c r="R6" s="9"/>
      <c r="S6" s="9"/>
      <c r="T6" s="9"/>
      <c r="U6" s="9"/>
    </row>
    <row r="7" spans="1:21">
      <c r="A7" s="472" t="s">
        <v>92</v>
      </c>
      <c r="B7" s="472"/>
      <c r="C7" s="472"/>
      <c r="D7" s="472"/>
      <c r="E7" s="472"/>
      <c r="F7" s="472"/>
      <c r="G7" s="472"/>
      <c r="J7" s="9"/>
      <c r="K7" s="9"/>
      <c r="L7" s="9"/>
      <c r="M7" s="9"/>
      <c r="N7" s="9"/>
      <c r="O7" s="9"/>
      <c r="P7" s="9"/>
      <c r="Q7" s="9"/>
      <c r="R7" s="9"/>
      <c r="S7" s="9"/>
      <c r="T7" s="9"/>
      <c r="U7" s="9"/>
    </row>
    <row r="8" spans="1:21">
      <c r="A8" s="7" t="s">
        <v>93</v>
      </c>
      <c r="B8" s="7" t="s">
        <v>66</v>
      </c>
      <c r="C8" s="7" t="s">
        <v>67</v>
      </c>
      <c r="D8" s="7"/>
      <c r="E8" s="7" t="s">
        <v>68</v>
      </c>
      <c r="F8" s="7" t="s">
        <v>69</v>
      </c>
      <c r="G8" s="7" t="s">
        <v>70</v>
      </c>
      <c r="J8" s="9"/>
      <c r="K8" s="9"/>
      <c r="L8" s="9"/>
      <c r="M8" s="9"/>
      <c r="N8" s="9"/>
      <c r="O8" s="9"/>
      <c r="P8" s="9"/>
      <c r="Q8" s="9"/>
      <c r="R8" s="9"/>
      <c r="S8" s="9"/>
      <c r="T8" s="9"/>
      <c r="U8" s="9"/>
    </row>
    <row r="9" spans="1:21">
      <c r="A9" s="3" t="s">
        <v>94</v>
      </c>
      <c r="B9" s="3" t="s">
        <v>98</v>
      </c>
      <c r="C9" s="29">
        <f>15.12+14.2</f>
        <v>29.32</v>
      </c>
      <c r="D9" s="263">
        <f>C9/$C$1</f>
        <v>0.40164383561643835</v>
      </c>
      <c r="E9" s="3" t="s">
        <v>124</v>
      </c>
      <c r="F9" s="3" t="s">
        <v>74</v>
      </c>
      <c r="G9" s="3" t="s">
        <v>433</v>
      </c>
      <c r="J9" s="9"/>
      <c r="K9" s="9"/>
      <c r="L9" s="9"/>
      <c r="M9" s="9"/>
      <c r="N9" s="9"/>
      <c r="O9" s="9"/>
      <c r="P9" s="9"/>
      <c r="Q9" s="9"/>
      <c r="R9" s="9"/>
      <c r="S9" s="9"/>
      <c r="T9" s="9"/>
      <c r="U9" s="9"/>
    </row>
    <row r="10" spans="1:21">
      <c r="A10" s="3" t="s">
        <v>94</v>
      </c>
      <c r="B10" s="3" t="s">
        <v>434</v>
      </c>
      <c r="C10" s="29">
        <v>20.795587916908808</v>
      </c>
      <c r="D10" s="263">
        <f t="shared" ref="D10:D22" si="0">C10/$C$1</f>
        <v>0.28487106735491519</v>
      </c>
      <c r="E10" s="3" t="s">
        <v>73</v>
      </c>
      <c r="F10" s="3" t="s">
        <v>74</v>
      </c>
      <c r="G10" s="3" t="s">
        <v>433</v>
      </c>
      <c r="J10" s="9"/>
      <c r="K10" s="9"/>
      <c r="L10" s="9"/>
      <c r="M10" s="9"/>
      <c r="N10" s="9"/>
      <c r="O10" s="9"/>
      <c r="P10" s="9"/>
      <c r="Q10" s="9"/>
      <c r="R10" s="9"/>
      <c r="S10" s="9"/>
      <c r="T10" s="9"/>
      <c r="U10" s="9"/>
    </row>
    <row r="11" spans="1:21">
      <c r="A11" s="3" t="s">
        <v>94</v>
      </c>
      <c r="B11" s="3" t="s">
        <v>435</v>
      </c>
      <c r="C11" s="29">
        <v>0.46212417593130684</v>
      </c>
      <c r="D11" s="263">
        <f t="shared" si="0"/>
        <v>6.3304681634425595E-3</v>
      </c>
      <c r="E11" s="3" t="s">
        <v>436</v>
      </c>
      <c r="F11" s="3" t="s">
        <v>74</v>
      </c>
      <c r="G11" s="3" t="s">
        <v>433</v>
      </c>
      <c r="J11" s="9"/>
      <c r="K11" s="9"/>
      <c r="L11" s="9"/>
      <c r="M11" s="9"/>
      <c r="N11" s="9"/>
      <c r="O11" s="9"/>
      <c r="P11" s="9"/>
      <c r="Q11" s="9"/>
      <c r="R11" s="9"/>
      <c r="S11" s="9"/>
      <c r="T11" s="9"/>
      <c r="U11" s="9"/>
    </row>
    <row r="12" spans="1:21">
      <c r="A12" s="3" t="s">
        <v>94</v>
      </c>
      <c r="B12" s="3" t="s">
        <v>437</v>
      </c>
      <c r="C12" s="29">
        <v>152.38544701334843</v>
      </c>
      <c r="D12" s="263">
        <f t="shared" si="0"/>
        <v>2.0874718768951839</v>
      </c>
      <c r="E12" s="3" t="s">
        <v>436</v>
      </c>
      <c r="F12" s="3" t="s">
        <v>74</v>
      </c>
      <c r="G12" s="3" t="s">
        <v>433</v>
      </c>
      <c r="J12" s="9"/>
      <c r="K12" s="9"/>
      <c r="L12" s="9"/>
      <c r="M12" s="9"/>
      <c r="N12" s="9"/>
      <c r="O12" s="9"/>
      <c r="P12" s="9"/>
      <c r="Q12" s="9"/>
      <c r="R12" s="9"/>
      <c r="S12" s="9"/>
      <c r="T12" s="9"/>
      <c r="U12" s="9"/>
    </row>
    <row r="13" spans="1:21" ht="27.95">
      <c r="A13" s="3" t="s">
        <v>94</v>
      </c>
      <c r="B13" s="3" t="s">
        <v>438</v>
      </c>
      <c r="C13" s="29">
        <v>1755.3786822750692</v>
      </c>
      <c r="D13" s="263">
        <f t="shared" si="0"/>
        <v>24.046283318836565</v>
      </c>
      <c r="E13" s="3" t="s">
        <v>436</v>
      </c>
      <c r="F13" s="3" t="s">
        <v>74</v>
      </c>
      <c r="G13" s="3" t="s">
        <v>433</v>
      </c>
      <c r="J13" s="9"/>
      <c r="K13" s="9"/>
      <c r="L13" s="9"/>
      <c r="M13" s="9"/>
      <c r="N13" s="9"/>
      <c r="O13" s="9"/>
      <c r="P13" s="9"/>
      <c r="Q13" s="9"/>
      <c r="R13" s="9"/>
      <c r="S13" s="9"/>
      <c r="T13" s="9"/>
      <c r="U13" s="9"/>
    </row>
    <row r="14" spans="1:21" ht="16.149999999999999" customHeight="1">
      <c r="A14" s="3" t="s">
        <v>94</v>
      </c>
      <c r="B14" s="3" t="s">
        <v>439</v>
      </c>
      <c r="C14" s="29">
        <v>17.676249729372486</v>
      </c>
      <c r="D14" s="263">
        <f t="shared" si="0"/>
        <v>0.2421404072516779</v>
      </c>
      <c r="E14" s="3" t="s">
        <v>436</v>
      </c>
      <c r="F14" s="3" t="s">
        <v>74</v>
      </c>
      <c r="G14" s="3" t="s">
        <v>433</v>
      </c>
      <c r="J14" s="9"/>
      <c r="K14" s="9"/>
      <c r="L14" s="9"/>
      <c r="M14" s="9"/>
      <c r="N14" s="9"/>
      <c r="O14" s="9"/>
      <c r="P14" s="9"/>
      <c r="Q14" s="9"/>
      <c r="R14" s="9"/>
      <c r="S14" s="9"/>
      <c r="T14" s="9"/>
      <c r="U14" s="9"/>
    </row>
    <row r="15" spans="1:21" ht="16.149999999999999" customHeight="1">
      <c r="A15" s="3" t="s">
        <v>94</v>
      </c>
      <c r="B15" s="3" t="s">
        <v>440</v>
      </c>
      <c r="C15" s="29">
        <v>11.553104398282672</v>
      </c>
      <c r="D15" s="263">
        <f t="shared" si="0"/>
        <v>0.15826170408606399</v>
      </c>
      <c r="E15" s="3" t="s">
        <v>436</v>
      </c>
      <c r="F15" s="3" t="s">
        <v>74</v>
      </c>
      <c r="G15" s="3" t="s">
        <v>433</v>
      </c>
      <c r="J15" s="9"/>
      <c r="K15" s="9"/>
      <c r="L15" s="9"/>
      <c r="M15" s="9"/>
      <c r="N15" s="9"/>
      <c r="O15" s="9"/>
      <c r="P15" s="9"/>
      <c r="Q15" s="9"/>
      <c r="R15" s="9"/>
      <c r="S15" s="9"/>
      <c r="T15" s="9"/>
      <c r="U15" s="9"/>
    </row>
    <row r="16" spans="1:21">
      <c r="A16" s="3" t="s">
        <v>94</v>
      </c>
      <c r="B16" s="3" t="s">
        <v>441</v>
      </c>
      <c r="C16" s="29">
        <v>517.79103573986504</v>
      </c>
      <c r="D16" s="263">
        <f t="shared" si="0"/>
        <v>7.0930278868474659</v>
      </c>
      <c r="E16" s="3" t="s">
        <v>436</v>
      </c>
      <c r="F16" s="3" t="s">
        <v>74</v>
      </c>
      <c r="G16" s="3" t="s">
        <v>433</v>
      </c>
      <c r="J16" s="9"/>
      <c r="K16" s="9"/>
      <c r="L16" s="9"/>
      <c r="M16" s="9"/>
      <c r="N16" s="9"/>
      <c r="O16" s="9"/>
      <c r="P16" s="9"/>
      <c r="Q16" s="9"/>
      <c r="R16" s="9"/>
      <c r="S16" s="9"/>
      <c r="T16" s="9"/>
      <c r="U16" s="9"/>
    </row>
    <row r="17" spans="1:21">
      <c r="A17" s="3" t="s">
        <v>94</v>
      </c>
      <c r="B17" s="3" t="s">
        <v>442</v>
      </c>
      <c r="C17" s="29">
        <v>53.04</v>
      </c>
      <c r="D17" s="263">
        <f t="shared" si="0"/>
        <v>0.72657534246575339</v>
      </c>
      <c r="E17" s="3" t="s">
        <v>436</v>
      </c>
      <c r="F17" s="3" t="s">
        <v>74</v>
      </c>
      <c r="G17" s="3" t="s">
        <v>433</v>
      </c>
      <c r="J17" s="9"/>
      <c r="K17" s="9"/>
      <c r="L17" s="9"/>
      <c r="M17" s="9"/>
      <c r="N17" s="9"/>
      <c r="O17" s="9"/>
      <c r="P17" s="9"/>
      <c r="Q17" s="9"/>
      <c r="R17" s="9"/>
      <c r="S17" s="9"/>
      <c r="T17" s="9"/>
      <c r="U17" s="9"/>
    </row>
    <row r="18" spans="1:21">
      <c r="A18" s="3" t="s">
        <v>94</v>
      </c>
      <c r="B18" s="3" t="s">
        <v>443</v>
      </c>
      <c r="C18" s="29">
        <v>409.69387755102048</v>
      </c>
      <c r="D18" s="263">
        <f t="shared" si="0"/>
        <v>5.6122448979591848</v>
      </c>
      <c r="E18" s="3" t="s">
        <v>444</v>
      </c>
      <c r="F18" s="3" t="s">
        <v>74</v>
      </c>
      <c r="G18" s="3" t="s">
        <v>445</v>
      </c>
      <c r="J18" s="9"/>
      <c r="K18" s="9"/>
      <c r="L18" s="9"/>
      <c r="M18" s="9"/>
      <c r="N18" s="9"/>
      <c r="O18" s="9"/>
      <c r="P18" s="9"/>
      <c r="Q18" s="9"/>
      <c r="R18" s="9"/>
      <c r="S18" s="9"/>
      <c r="T18" s="9"/>
      <c r="U18" s="9"/>
    </row>
    <row r="19" spans="1:21" ht="13.9" customHeight="1">
      <c r="A19" s="3" t="s">
        <v>446</v>
      </c>
      <c r="B19" s="3" t="s">
        <v>447</v>
      </c>
      <c r="C19" s="29">
        <f>C10*1000</f>
        <v>20795.587916908808</v>
      </c>
      <c r="D19" s="263">
        <f t="shared" si="0"/>
        <v>284.87106735491517</v>
      </c>
      <c r="E19" s="3" t="s">
        <v>436</v>
      </c>
      <c r="F19" s="3" t="s">
        <v>74</v>
      </c>
      <c r="G19" s="3" t="s">
        <v>433</v>
      </c>
    </row>
    <row r="20" spans="1:21">
      <c r="A20" s="3" t="s">
        <v>446</v>
      </c>
      <c r="B20" s="3" t="s">
        <v>442</v>
      </c>
      <c r="C20" s="29">
        <f>C17</f>
        <v>53.04</v>
      </c>
      <c r="D20" s="263">
        <f t="shared" si="0"/>
        <v>0.72657534246575339</v>
      </c>
      <c r="E20" s="3" t="s">
        <v>436</v>
      </c>
      <c r="F20" s="3" t="s">
        <v>74</v>
      </c>
      <c r="G20" s="3" t="s">
        <v>448</v>
      </c>
    </row>
    <row r="21" spans="1:21">
      <c r="A21" s="3" t="s">
        <v>446</v>
      </c>
      <c r="B21" s="3" t="s">
        <v>449</v>
      </c>
      <c r="C21" s="29">
        <f>C16</f>
        <v>517.79103573986504</v>
      </c>
      <c r="D21" s="263">
        <f t="shared" si="0"/>
        <v>7.0930278868474659</v>
      </c>
      <c r="E21" s="3" t="s">
        <v>436</v>
      </c>
      <c r="F21" s="3" t="s">
        <v>74</v>
      </c>
      <c r="G21" s="3" t="s">
        <v>448</v>
      </c>
    </row>
    <row r="22" spans="1:21">
      <c r="A22" s="3" t="s">
        <v>446</v>
      </c>
      <c r="B22" s="3" t="s">
        <v>443</v>
      </c>
      <c r="C22" s="29">
        <f>C18</f>
        <v>409.69387755102048</v>
      </c>
      <c r="D22" s="263">
        <f t="shared" si="0"/>
        <v>5.6122448979591848</v>
      </c>
      <c r="E22" s="3" t="s">
        <v>436</v>
      </c>
      <c r="F22" s="3" t="s">
        <v>74</v>
      </c>
      <c r="G22" s="3" t="s">
        <v>448</v>
      </c>
    </row>
    <row r="23" spans="1:21">
      <c r="A23" s="472" t="s">
        <v>115</v>
      </c>
      <c r="B23" s="472"/>
      <c r="C23" s="472"/>
      <c r="D23" s="472"/>
      <c r="E23" s="472"/>
      <c r="F23" s="472"/>
      <c r="G23" s="472"/>
    </row>
    <row r="24" spans="1:21">
      <c r="A24" s="7" t="s">
        <v>93</v>
      </c>
      <c r="B24" s="7" t="s">
        <v>66</v>
      </c>
      <c r="C24" s="7" t="s">
        <v>67</v>
      </c>
      <c r="D24" s="7"/>
      <c r="E24" s="7" t="s">
        <v>68</v>
      </c>
      <c r="F24" s="7" t="s">
        <v>69</v>
      </c>
      <c r="G24" s="7" t="s">
        <v>70</v>
      </c>
    </row>
    <row r="25" spans="1:21" ht="27.95">
      <c r="A25" s="3" t="s">
        <v>116</v>
      </c>
      <c r="B25" s="3" t="s">
        <v>117</v>
      </c>
      <c r="C25" s="6">
        <v>20</v>
      </c>
      <c r="D25" s="263">
        <f t="shared" ref="D25" si="1">C25/$C$1</f>
        <v>0.27397260273972601</v>
      </c>
      <c r="E25" s="3" t="s">
        <v>73</v>
      </c>
      <c r="F25" s="3" t="s">
        <v>96</v>
      </c>
      <c r="G25" s="3" t="s">
        <v>118</v>
      </c>
    </row>
    <row r="26" spans="1:21">
      <c r="A26" s="267" t="s">
        <v>116</v>
      </c>
      <c r="B26" s="267" t="s">
        <v>450</v>
      </c>
      <c r="C26" s="267">
        <f>0.198/2</f>
        <v>9.9000000000000005E-2</v>
      </c>
      <c r="D26" s="267"/>
      <c r="E26" s="267" t="s">
        <v>73</v>
      </c>
      <c r="F26" s="267" t="s">
        <v>96</v>
      </c>
      <c r="G26" s="267" t="s">
        <v>150</v>
      </c>
    </row>
    <row r="29" spans="1:21">
      <c r="A29" s="5" t="s">
        <v>119</v>
      </c>
      <c r="B29" s="5" t="s">
        <v>120</v>
      </c>
      <c r="C29" s="2" t="s">
        <v>451</v>
      </c>
      <c r="D29" s="2"/>
      <c r="E29" s="4">
        <f>800*20*365</f>
        <v>5840000</v>
      </c>
    </row>
    <row r="30" spans="1:21">
      <c r="A30" s="472" t="s">
        <v>64</v>
      </c>
      <c r="B30" s="472"/>
      <c r="C30" s="472"/>
      <c r="D30" s="472"/>
      <c r="E30" s="472"/>
      <c r="F30" s="472"/>
      <c r="G30" s="472"/>
    </row>
    <row r="31" spans="1:21">
      <c r="A31" s="7" t="s">
        <v>65</v>
      </c>
      <c r="B31" s="7" t="s">
        <v>66</v>
      </c>
      <c r="C31" s="7" t="s">
        <v>67</v>
      </c>
      <c r="D31" s="7"/>
      <c r="E31" s="7" t="s">
        <v>68</v>
      </c>
      <c r="F31" s="7" t="s">
        <v>69</v>
      </c>
      <c r="G31" s="7" t="s">
        <v>70</v>
      </c>
    </row>
    <row r="32" spans="1:21">
      <c r="A32" s="3"/>
      <c r="B32" s="3" t="s">
        <v>121</v>
      </c>
      <c r="C32" s="6">
        <v>688</v>
      </c>
      <c r="D32" s="262">
        <f>C32/$E$29</f>
        <v>1.1780821917808219E-4</v>
      </c>
      <c r="E32" s="3" t="s">
        <v>73</v>
      </c>
      <c r="F32" s="3" t="s">
        <v>452</v>
      </c>
      <c r="G32" s="3" t="s">
        <v>453</v>
      </c>
    </row>
    <row r="33" spans="1:7" ht="27.95">
      <c r="A33" s="3"/>
      <c r="B33" s="3" t="s">
        <v>454</v>
      </c>
      <c r="C33" s="3">
        <f>4712.09*4</f>
        <v>18848.36</v>
      </c>
      <c r="D33" s="262">
        <f>C33/$E$29</f>
        <v>3.2274589041095892E-3</v>
      </c>
      <c r="E33" s="3" t="s">
        <v>73</v>
      </c>
      <c r="F33" s="3" t="s">
        <v>455</v>
      </c>
      <c r="G33" s="3" t="s">
        <v>75</v>
      </c>
    </row>
    <row r="34" spans="1:7">
      <c r="A34" s="3"/>
      <c r="B34" s="3" t="s">
        <v>432</v>
      </c>
      <c r="C34" s="3">
        <v>3</v>
      </c>
      <c r="D34" s="263">
        <f>3000/22000</f>
        <v>0.13636363636363635</v>
      </c>
      <c r="E34" s="3" t="s">
        <v>124</v>
      </c>
      <c r="F34" s="3"/>
      <c r="G34" s="3"/>
    </row>
    <row r="36" spans="1:7">
      <c r="A36" s="2" t="s">
        <v>456</v>
      </c>
      <c r="D36" s="4">
        <f>800</f>
        <v>800</v>
      </c>
    </row>
    <row r="37" spans="1:7">
      <c r="A37" s="472" t="s">
        <v>92</v>
      </c>
      <c r="B37" s="472"/>
      <c r="C37" s="472"/>
      <c r="D37" s="472"/>
      <c r="E37" s="472"/>
      <c r="F37" s="472"/>
      <c r="G37" s="472"/>
    </row>
    <row r="38" spans="1:7">
      <c r="A38" s="7" t="s">
        <v>93</v>
      </c>
      <c r="B38" s="7" t="s">
        <v>66</v>
      </c>
      <c r="C38" s="7" t="s">
        <v>67</v>
      </c>
      <c r="D38" s="7"/>
      <c r="E38" s="7" t="s">
        <v>68</v>
      </c>
      <c r="F38" s="7" t="s">
        <v>69</v>
      </c>
      <c r="G38" s="7" t="s">
        <v>70</v>
      </c>
    </row>
    <row r="39" spans="1:7">
      <c r="A39" s="3" t="s">
        <v>94</v>
      </c>
      <c r="B39" s="3" t="s">
        <v>98</v>
      </c>
      <c r="C39" s="3">
        <f>18965.4+(3*24*20)</f>
        <v>20405.400000000001</v>
      </c>
      <c r="D39" s="263">
        <f>(C39*20)/$E$29</f>
        <v>6.9881506849315073E-2</v>
      </c>
      <c r="E39" s="3" t="s">
        <v>457</v>
      </c>
      <c r="F39" s="3" t="s">
        <v>455</v>
      </c>
      <c r="G39" s="3"/>
    </row>
    <row r="40" spans="1:7">
      <c r="A40" s="3" t="s">
        <v>94</v>
      </c>
      <c r="B40" s="3" t="s">
        <v>434</v>
      </c>
      <c r="C40" s="3">
        <f>0.06*365</f>
        <v>21.9</v>
      </c>
      <c r="D40" s="263">
        <f t="shared" ref="D40:D52" si="2">(C40*20)/$E$29</f>
        <v>7.4999999999999993E-5</v>
      </c>
      <c r="E40" s="3" t="s">
        <v>458</v>
      </c>
      <c r="F40" s="3" t="s">
        <v>455</v>
      </c>
      <c r="G40" s="3" t="s">
        <v>459</v>
      </c>
    </row>
    <row r="41" spans="1:7">
      <c r="A41" s="3" t="s">
        <v>94</v>
      </c>
      <c r="B41" s="3" t="s">
        <v>435</v>
      </c>
      <c r="C41" s="3">
        <f>0.001524*365</f>
        <v>0.55625999999999998</v>
      </c>
      <c r="D41" s="263">
        <f t="shared" si="2"/>
        <v>1.905E-6</v>
      </c>
      <c r="E41" s="3" t="s">
        <v>460</v>
      </c>
      <c r="F41" s="3" t="s">
        <v>455</v>
      </c>
      <c r="G41" s="3" t="s">
        <v>459</v>
      </c>
    </row>
    <row r="42" spans="1:7">
      <c r="A42" s="3" t="s">
        <v>94</v>
      </c>
      <c r="B42" s="3" t="s">
        <v>437</v>
      </c>
      <c r="C42" s="3">
        <f>0.42*365</f>
        <v>153.29999999999998</v>
      </c>
      <c r="D42" s="263">
        <f t="shared" si="2"/>
        <v>5.2499999999999997E-4</v>
      </c>
      <c r="E42" s="3" t="s">
        <v>461</v>
      </c>
      <c r="F42" s="3" t="s">
        <v>455</v>
      </c>
      <c r="G42" s="3" t="s">
        <v>459</v>
      </c>
    </row>
    <row r="43" spans="1:7" ht="27.95">
      <c r="A43" s="3" t="s">
        <v>94</v>
      </c>
      <c r="B43" s="3" t="s">
        <v>438</v>
      </c>
      <c r="C43" s="3">
        <f>4.81*365</f>
        <v>1755.6499999999999</v>
      </c>
      <c r="D43" s="263">
        <f t="shared" si="2"/>
        <v>6.0124999999999996E-3</v>
      </c>
      <c r="E43" s="3" t="s">
        <v>461</v>
      </c>
      <c r="F43" s="3" t="s">
        <v>455</v>
      </c>
      <c r="G43" s="3" t="s">
        <v>459</v>
      </c>
    </row>
    <row r="44" spans="1:7">
      <c r="A44" s="3" t="s">
        <v>94</v>
      </c>
      <c r="B44" s="3" t="s">
        <v>439</v>
      </c>
      <c r="C44" s="3">
        <v>0.153</v>
      </c>
      <c r="D44" s="263">
        <f t="shared" si="2"/>
        <v>5.2397260273972606E-7</v>
      </c>
      <c r="E44" s="3" t="s">
        <v>461</v>
      </c>
      <c r="F44" s="3" t="s">
        <v>455</v>
      </c>
      <c r="G44" s="3" t="s">
        <v>459</v>
      </c>
    </row>
    <row r="45" spans="1:7">
      <c r="A45" s="3" t="s">
        <v>94</v>
      </c>
      <c r="B45" s="3" t="s">
        <v>440</v>
      </c>
      <c r="C45" s="3">
        <f>0.02*365</f>
        <v>7.3</v>
      </c>
      <c r="D45" s="263">
        <f t="shared" si="2"/>
        <v>2.5000000000000001E-5</v>
      </c>
      <c r="E45" s="3" t="s">
        <v>460</v>
      </c>
      <c r="F45" s="3" t="s">
        <v>455</v>
      </c>
      <c r="G45" s="3" t="s">
        <v>459</v>
      </c>
    </row>
    <row r="46" spans="1:7">
      <c r="A46" s="3" t="s">
        <v>94</v>
      </c>
      <c r="B46" s="3" t="s">
        <v>441</v>
      </c>
      <c r="C46" s="3">
        <f>0.71*365</f>
        <v>259.14999999999998</v>
      </c>
      <c r="D46" s="263">
        <f t="shared" si="2"/>
        <v>8.8750000000000005E-4</v>
      </c>
      <c r="E46" s="3" t="s">
        <v>462</v>
      </c>
      <c r="F46" s="3" t="s">
        <v>455</v>
      </c>
      <c r="G46" s="3" t="s">
        <v>459</v>
      </c>
    </row>
    <row r="47" spans="1:7">
      <c r="A47" s="3" t="s">
        <v>94</v>
      </c>
      <c r="B47" s="3" t="s">
        <v>442</v>
      </c>
      <c r="C47" s="3">
        <f>0.104*365</f>
        <v>37.96</v>
      </c>
      <c r="D47" s="263">
        <f t="shared" si="2"/>
        <v>1.3000000000000002E-4</v>
      </c>
      <c r="E47" s="3" t="s">
        <v>462</v>
      </c>
      <c r="F47" s="3" t="s">
        <v>455</v>
      </c>
      <c r="G47" s="3" t="s">
        <v>459</v>
      </c>
    </row>
    <row r="48" spans="1:7">
      <c r="A48" s="3" t="s">
        <v>94</v>
      </c>
      <c r="B48" s="3" t="s">
        <v>443</v>
      </c>
      <c r="C48" s="3">
        <v>624.25</v>
      </c>
      <c r="D48" s="263">
        <f t="shared" si="2"/>
        <v>2.1378424657534246E-3</v>
      </c>
      <c r="E48" s="3" t="s">
        <v>462</v>
      </c>
      <c r="F48" s="3" t="s">
        <v>455</v>
      </c>
      <c r="G48" s="3" t="s">
        <v>445</v>
      </c>
    </row>
    <row r="49" spans="1:7">
      <c r="A49" s="3" t="s">
        <v>446</v>
      </c>
      <c r="B49" s="3" t="s">
        <v>447</v>
      </c>
      <c r="C49" s="3">
        <f>C40</f>
        <v>21.9</v>
      </c>
      <c r="D49" s="263">
        <f t="shared" si="2"/>
        <v>7.4999999999999993E-5</v>
      </c>
      <c r="E49" s="3" t="s">
        <v>458</v>
      </c>
      <c r="F49" s="3" t="s">
        <v>455</v>
      </c>
      <c r="G49" s="3" t="s">
        <v>459</v>
      </c>
    </row>
    <row r="50" spans="1:7">
      <c r="A50" s="3" t="s">
        <v>446</v>
      </c>
      <c r="B50" s="3" t="s">
        <v>442</v>
      </c>
      <c r="C50" s="3">
        <f>C47</f>
        <v>37.96</v>
      </c>
      <c r="D50" s="263">
        <f t="shared" si="2"/>
        <v>1.3000000000000002E-4</v>
      </c>
      <c r="E50" s="3" t="str">
        <f>E46</f>
        <v>kg/year</v>
      </c>
      <c r="F50" s="3" t="s">
        <v>455</v>
      </c>
      <c r="G50" s="3" t="s">
        <v>448</v>
      </c>
    </row>
    <row r="51" spans="1:7">
      <c r="A51" s="3" t="s">
        <v>446</v>
      </c>
      <c r="B51" s="3" t="s">
        <v>449</v>
      </c>
      <c r="C51" s="3">
        <f>C46</f>
        <v>259.14999999999998</v>
      </c>
      <c r="D51" s="263">
        <f t="shared" si="2"/>
        <v>8.8750000000000005E-4</v>
      </c>
      <c r="E51" s="3" t="str">
        <f>E47</f>
        <v>kg/year</v>
      </c>
      <c r="F51" s="3" t="s">
        <v>455</v>
      </c>
      <c r="G51" s="3" t="s">
        <v>448</v>
      </c>
    </row>
    <row r="52" spans="1:7">
      <c r="A52" s="3" t="s">
        <v>446</v>
      </c>
      <c r="B52" s="3" t="s">
        <v>443</v>
      </c>
      <c r="C52" s="3">
        <f>C48</f>
        <v>624.25</v>
      </c>
      <c r="D52" s="263">
        <f t="shared" si="2"/>
        <v>2.1378424657534246E-3</v>
      </c>
      <c r="E52" s="3" t="s">
        <v>462</v>
      </c>
      <c r="F52" s="3" t="s">
        <v>455</v>
      </c>
      <c r="G52" s="3" t="s">
        <v>448</v>
      </c>
    </row>
    <row r="53" spans="1:7">
      <c r="C53" s="4">
        <f>SUM(C49:C52)</f>
        <v>943.26</v>
      </c>
    </row>
    <row r="54" spans="1:7">
      <c r="A54" s="472" t="s">
        <v>115</v>
      </c>
      <c r="B54" s="472"/>
      <c r="C54" s="472"/>
      <c r="D54" s="472"/>
      <c r="E54" s="472"/>
      <c r="F54" s="472"/>
      <c r="G54" s="472"/>
    </row>
    <row r="55" spans="1:7">
      <c r="A55" s="7" t="s">
        <v>93</v>
      </c>
      <c r="B55" s="7" t="s">
        <v>66</v>
      </c>
      <c r="C55" s="7" t="s">
        <v>67</v>
      </c>
      <c r="D55" s="7"/>
      <c r="E55" s="7" t="s">
        <v>68</v>
      </c>
      <c r="F55" s="7" t="s">
        <v>69</v>
      </c>
      <c r="G55" s="7" t="s">
        <v>70</v>
      </c>
    </row>
    <row r="56" spans="1:7" ht="27.95">
      <c r="A56" s="3" t="s">
        <v>116</v>
      </c>
      <c r="B56" s="3" t="s">
        <v>117</v>
      </c>
      <c r="C56" s="6">
        <f>C33+C32</f>
        <v>19536.36</v>
      </c>
      <c r="D56" s="262">
        <f>C56/E29</f>
        <v>3.3452671232876712E-3</v>
      </c>
      <c r="E56" s="3" t="s">
        <v>210</v>
      </c>
      <c r="F56" s="3" t="s">
        <v>96</v>
      </c>
      <c r="G56" s="3" t="s">
        <v>118</v>
      </c>
    </row>
  </sheetData>
  <mergeCells count="6">
    <mergeCell ref="A54:G54"/>
    <mergeCell ref="A2:G2"/>
    <mergeCell ref="A7:G7"/>
    <mergeCell ref="A23:G23"/>
    <mergeCell ref="A30:G30"/>
    <mergeCell ref="A37:G3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e48b6c9-b527-47b5-bb17-43810fb4f13b" xsi:nil="true"/>
    <lcf76f155ced4ddcb4097134ff3c332f xmlns="130fd90a-25b7-480f-91b9-7d43b9af693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EC323D15AD5AE4FA35FA1FF91E5DFAE" ma:contentTypeVersion="11" ma:contentTypeDescription="Create a new document." ma:contentTypeScope="" ma:versionID="b3fa8c8d6b780fd9ddeb50b0b6399bc3">
  <xsd:schema xmlns:xsd="http://www.w3.org/2001/XMLSchema" xmlns:xs="http://www.w3.org/2001/XMLSchema" xmlns:p="http://schemas.microsoft.com/office/2006/metadata/properties" xmlns:ns2="130fd90a-25b7-480f-91b9-7d43b9af6931" xmlns:ns3="3e48b6c9-b527-47b5-bb17-43810fb4f13b" targetNamespace="http://schemas.microsoft.com/office/2006/metadata/properties" ma:root="true" ma:fieldsID="00196a90a27d6f68296891e8f83e94e3" ns2:_="" ns3:_="">
    <xsd:import namespace="130fd90a-25b7-480f-91b9-7d43b9af6931"/>
    <xsd:import namespace="3e48b6c9-b527-47b5-bb17-43810fb4f13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0fd90a-25b7-480f-91b9-7d43b9af69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77b169b-7464-4c14-89c9-ab876efcba0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48b6c9-b527-47b5-bb17-43810fb4f13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2ffd2b0-99c9-48c0-950f-38aefe17f985}" ma:internalName="TaxCatchAll" ma:showField="CatchAllData" ma:web="3e48b6c9-b527-47b5-bb17-43810fb4f13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965CC7-D3D2-47F2-B02E-9918806E6699}"/>
</file>

<file path=customXml/itemProps2.xml><?xml version="1.0" encoding="utf-8"?>
<ds:datastoreItem xmlns:ds="http://schemas.openxmlformats.org/officeDocument/2006/customXml" ds:itemID="{A7E234F5-75D5-423E-84C9-304AE46EBED6}"/>
</file>

<file path=customXml/itemProps3.xml><?xml version="1.0" encoding="utf-8"?>
<ds:datastoreItem xmlns:ds="http://schemas.openxmlformats.org/officeDocument/2006/customXml" ds:itemID="{FD0EC6A3-49B9-4B1C-AD6A-3B3789BB5D6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Valentina Guerrieri</dc:creator>
  <cp:keywords/>
  <dc:description/>
  <cp:lastModifiedBy>Valentina Guerrieri</cp:lastModifiedBy>
  <cp:revision/>
  <dcterms:created xsi:type="dcterms:W3CDTF">2015-06-05T18:19:34Z</dcterms:created>
  <dcterms:modified xsi:type="dcterms:W3CDTF">2025-09-26T10:11:27Z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0x0101008EC323D15AD5AE4FA35FA1FF91E5DFAE</vt:lpwstr>
  </property>
  <property fmtid="{D5CDD505-2E9C-101B-9397-08002B2CF9AE}" pid="3" name="MediaServiceImageTags">
    <vt:lpwstr/>
  </property>
</Properties>
</file>