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Ancestors  project\Isotopes\Titolo and PC dentine paper\submission files AJBA\"/>
    </mc:Choice>
  </mc:AlternateContent>
  <xr:revisionPtr revIDLastSave="0" documentId="8_{45E455CD-C7D0-4112-86F6-19FEC95CD8A3}" xr6:coauthVersionLast="47" xr6:coauthVersionMax="47" xr10:uidLastSave="{00000000-0000-0000-0000-000000000000}"/>
  <bookViews>
    <workbookView xWindow="-108" yWindow="-108" windowWidth="23256" windowHeight="12456" xr2:uid="{88D35717-DEE2-4A21-9043-F09087CFD746}"/>
  </bookViews>
  <sheets>
    <sheet name="Supplementary Tabl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8" i="1" l="1"/>
  <c r="Z147" i="1"/>
  <c r="Z146" i="1"/>
  <c r="Z145" i="1"/>
  <c r="Z144" i="1"/>
  <c r="Z143" i="1"/>
  <c r="Z142" i="1"/>
  <c r="Z141" i="1"/>
  <c r="Z140" i="1"/>
  <c r="Z139" i="1"/>
  <c r="Z138" i="1"/>
  <c r="Z137" i="1"/>
  <c r="Z136" i="1"/>
  <c r="N135" i="1"/>
  <c r="P144" i="1" s="1"/>
  <c r="M134" i="1"/>
  <c r="N131" i="1"/>
  <c r="O131" i="1" s="1"/>
  <c r="P131" i="1" s="1"/>
  <c r="K131" i="1"/>
  <c r="P129" i="1"/>
  <c r="O129" i="1"/>
  <c r="P130" i="1" s="1"/>
  <c r="N129" i="1"/>
  <c r="K129" i="1"/>
  <c r="N127" i="1"/>
  <c r="O127" i="1" s="1"/>
  <c r="K127" i="1"/>
  <c r="P125" i="1"/>
  <c r="P123" i="1"/>
  <c r="P121" i="1"/>
  <c r="R120" i="1"/>
  <c r="Q121" i="1" s="1"/>
  <c r="P120" i="1"/>
  <c r="O120" i="1"/>
  <c r="P126" i="1" s="1"/>
  <c r="N120" i="1"/>
  <c r="K120" i="1"/>
  <c r="M119" i="1"/>
  <c r="L119" i="1"/>
  <c r="N115" i="1"/>
  <c r="O115" i="1" s="1"/>
  <c r="K115" i="1"/>
  <c r="P113" i="1"/>
  <c r="P111" i="1"/>
  <c r="P109" i="1"/>
  <c r="P107" i="1"/>
  <c r="O107" i="1"/>
  <c r="P114" i="1" s="1"/>
  <c r="N107" i="1"/>
  <c r="K107" i="1"/>
  <c r="P106" i="1"/>
  <c r="N105" i="1"/>
  <c r="O105" i="1" s="1"/>
  <c r="P105" i="1" s="1"/>
  <c r="K105" i="1"/>
  <c r="N97" i="1"/>
  <c r="O97" i="1" s="1"/>
  <c r="K97" i="1"/>
  <c r="L96" i="1"/>
  <c r="N93" i="1"/>
  <c r="O93" i="1" s="1"/>
  <c r="P93" i="1" s="1"/>
  <c r="K93" i="1"/>
  <c r="N90" i="1"/>
  <c r="K90" i="1"/>
  <c r="N89" i="1"/>
  <c r="O89" i="1" s="1"/>
  <c r="P89" i="1" s="1"/>
  <c r="K89" i="1"/>
  <c r="N83" i="1"/>
  <c r="O83" i="1" s="1"/>
  <c r="K83" i="1"/>
  <c r="L82" i="1"/>
  <c r="N79" i="1"/>
  <c r="O79" i="1" s="1"/>
  <c r="P79" i="1" s="1"/>
  <c r="K79" i="1"/>
  <c r="N75" i="1"/>
  <c r="O75" i="1" s="1"/>
  <c r="K75" i="1"/>
  <c r="P74" i="1"/>
  <c r="O74" i="1"/>
  <c r="P78" i="1" s="1"/>
  <c r="N74" i="1"/>
  <c r="K74" i="1"/>
  <c r="P73" i="1"/>
  <c r="P71" i="1"/>
  <c r="P69" i="1"/>
  <c r="P67" i="1"/>
  <c r="O66" i="1"/>
  <c r="P66" i="1" s="1"/>
  <c r="R66" i="1" s="1"/>
  <c r="Q67" i="1" s="1"/>
  <c r="N66" i="1"/>
  <c r="K66" i="1"/>
  <c r="N61" i="1"/>
  <c r="K61" i="1"/>
  <c r="N56" i="1"/>
  <c r="O56" i="1" s="1"/>
  <c r="K56" i="1"/>
  <c r="O54" i="1"/>
  <c r="N54" i="1"/>
  <c r="K54" i="1"/>
  <c r="N50" i="1"/>
  <c r="O50" i="1" s="1"/>
  <c r="K50" i="1"/>
  <c r="M49" i="1"/>
  <c r="L49" i="1"/>
  <c r="N44" i="1"/>
  <c r="O44" i="1" s="1"/>
  <c r="K44" i="1"/>
  <c r="N40" i="1"/>
  <c r="O40" i="1" s="1"/>
  <c r="K40" i="1"/>
  <c r="P39" i="1"/>
  <c r="N38" i="1"/>
  <c r="O38" i="1" s="1"/>
  <c r="P38" i="1" s="1"/>
  <c r="K38" i="1"/>
  <c r="N35" i="1"/>
  <c r="O35" i="1" s="1"/>
  <c r="K35" i="1"/>
  <c r="M34" i="1"/>
  <c r="L34" i="1"/>
  <c r="N31" i="1"/>
  <c r="O31" i="1" s="1"/>
  <c r="K31" i="1"/>
  <c r="N29" i="1"/>
  <c r="O29" i="1" s="1"/>
  <c r="K29" i="1"/>
  <c r="P25" i="1"/>
  <c r="O25" i="1"/>
  <c r="N25" i="1"/>
  <c r="K25" i="1"/>
  <c r="P24" i="1"/>
  <c r="N23" i="1"/>
  <c r="O23" i="1" s="1"/>
  <c r="K23" i="1"/>
  <c r="M21" i="1"/>
  <c r="L21" i="1"/>
  <c r="N15" i="1"/>
  <c r="O15" i="1" s="1"/>
  <c r="P15" i="1" s="1"/>
  <c r="K15" i="1"/>
  <c r="O11" i="1"/>
  <c r="N11" i="1"/>
  <c r="K11" i="1"/>
  <c r="N9" i="1"/>
  <c r="O9" i="1" s="1"/>
  <c r="K9" i="1"/>
  <c r="N3" i="1"/>
  <c r="O3" i="1" s="1"/>
  <c r="K3" i="1"/>
  <c r="M2" i="1"/>
  <c r="L2" i="1"/>
  <c r="P43" i="1" l="1"/>
  <c r="P41" i="1"/>
  <c r="P42" i="1"/>
  <c r="P40" i="1"/>
  <c r="P36" i="1"/>
  <c r="P35" i="1"/>
  <c r="R35" i="1" s="1"/>
  <c r="P37" i="1"/>
  <c r="P60" i="1"/>
  <c r="P58" i="1"/>
  <c r="P56" i="1"/>
  <c r="P10" i="1"/>
  <c r="P9" i="1"/>
  <c r="S66" i="1"/>
  <c r="P115" i="1"/>
  <c r="P116" i="1"/>
  <c r="P59" i="1"/>
  <c r="R67" i="1"/>
  <c r="Q68" i="1" s="1"/>
  <c r="P30" i="1"/>
  <c r="P31" i="1"/>
  <c r="P44" i="1"/>
  <c r="P45" i="1"/>
  <c r="P3" i="1"/>
  <c r="R3" i="1" s="1"/>
  <c r="P7" i="1"/>
  <c r="P5" i="1"/>
  <c r="P8" i="1"/>
  <c r="P6" i="1"/>
  <c r="P4" i="1"/>
  <c r="O61" i="1"/>
  <c r="O90" i="1"/>
  <c r="P22" i="1"/>
  <c r="P23" i="1"/>
  <c r="R23" i="1" s="1"/>
  <c r="P28" i="1"/>
  <c r="P26" i="1"/>
  <c r="P27" i="1"/>
  <c r="P29" i="1"/>
  <c r="P51" i="1"/>
  <c r="P50" i="1"/>
  <c r="R50" i="1" s="1"/>
  <c r="P52" i="1"/>
  <c r="P53" i="1"/>
  <c r="P57" i="1"/>
  <c r="P16" i="1"/>
  <c r="P99" i="1"/>
  <c r="P97" i="1"/>
  <c r="R97" i="1" s="1"/>
  <c r="P103" i="1"/>
  <c r="P104" i="1"/>
  <c r="P102" i="1"/>
  <c r="P100" i="1"/>
  <c r="P98" i="1"/>
  <c r="P101" i="1"/>
  <c r="P13" i="1"/>
  <c r="P11" i="1"/>
  <c r="P14" i="1"/>
  <c r="P12" i="1"/>
  <c r="P54" i="1"/>
  <c r="P55" i="1"/>
  <c r="P83" i="1"/>
  <c r="R83" i="1" s="1"/>
  <c r="P87" i="1"/>
  <c r="P85" i="1"/>
  <c r="P88" i="1"/>
  <c r="P86" i="1"/>
  <c r="P84" i="1"/>
  <c r="P128" i="1"/>
  <c r="P127" i="1"/>
  <c r="S67" i="1"/>
  <c r="R121" i="1"/>
  <c r="Q122" i="1" s="1"/>
  <c r="S121" i="1"/>
  <c r="P137" i="1"/>
  <c r="P145" i="1"/>
  <c r="P68" i="1"/>
  <c r="P70" i="1"/>
  <c r="P72" i="1"/>
  <c r="P141" i="1"/>
  <c r="P122" i="1"/>
  <c r="P124" i="1"/>
  <c r="P138" i="1"/>
  <c r="P146" i="1"/>
  <c r="P75" i="1"/>
  <c r="P77" i="1"/>
  <c r="P143" i="1"/>
  <c r="P148" i="1"/>
  <c r="P140" i="1"/>
  <c r="P142" i="1"/>
  <c r="S120" i="1"/>
  <c r="P76" i="1"/>
  <c r="P108" i="1"/>
  <c r="P110" i="1"/>
  <c r="P112" i="1"/>
  <c r="P139" i="1"/>
  <c r="P147" i="1"/>
  <c r="P135" i="1"/>
  <c r="R135" i="1" s="1"/>
  <c r="P136" i="1"/>
  <c r="S23" i="1" l="1"/>
  <c r="Q22" i="1"/>
  <c r="R22" i="1" s="1"/>
  <c r="Q25" i="1" s="1"/>
  <c r="R122" i="1"/>
  <c r="Q123" i="1" s="1"/>
  <c r="Q51" i="1"/>
  <c r="R51" i="1" s="1"/>
  <c r="Q52" i="1" s="1"/>
  <c r="S50" i="1"/>
  <c r="S97" i="1"/>
  <c r="Q98" i="1"/>
  <c r="P92" i="1"/>
  <c r="P90" i="1"/>
  <c r="P91" i="1"/>
  <c r="S135" i="1"/>
  <c r="Q136" i="1"/>
  <c r="Q36" i="1"/>
  <c r="S35" i="1"/>
  <c r="S83" i="1"/>
  <c r="Q84" i="1"/>
  <c r="P61" i="1"/>
  <c r="P62" i="1"/>
  <c r="S3" i="1"/>
  <c r="Q4" i="1"/>
  <c r="R68" i="1"/>
  <c r="Q69" i="1" s="1"/>
  <c r="R25" i="1" l="1"/>
  <c r="Q24" i="1" s="1"/>
  <c r="S52" i="1"/>
  <c r="R52" i="1"/>
  <c r="Q53" i="1" s="1"/>
  <c r="S68" i="1"/>
  <c r="R136" i="1"/>
  <c r="Q137" i="1" s="1"/>
  <c r="S51" i="1"/>
  <c r="R84" i="1"/>
  <c r="Q85" i="1" s="1"/>
  <c r="S84" i="1"/>
  <c r="R69" i="1"/>
  <c r="Q70" i="1" s="1"/>
  <c r="R98" i="1"/>
  <c r="Q99" i="1" s="1"/>
  <c r="S22" i="1"/>
  <c r="R123" i="1"/>
  <c r="Q124" i="1" s="1"/>
  <c r="S123" i="1"/>
  <c r="R4" i="1"/>
  <c r="Q5" i="1" s="1"/>
  <c r="R36" i="1"/>
  <c r="Q37" i="1" s="1"/>
  <c r="S122" i="1"/>
  <c r="S24" i="1" l="1"/>
  <c r="R24" i="1"/>
  <c r="Q29" i="1" s="1"/>
  <c r="S37" i="1"/>
  <c r="R37" i="1"/>
  <c r="Q38" i="1" s="1"/>
  <c r="S69" i="1"/>
  <c r="S36" i="1"/>
  <c r="S4" i="1"/>
  <c r="R70" i="1"/>
  <c r="Q71" i="1" s="1"/>
  <c r="R85" i="1"/>
  <c r="Q86" i="1" s="1"/>
  <c r="R124" i="1"/>
  <c r="Q125" i="1" s="1"/>
  <c r="S124" i="1"/>
  <c r="R53" i="1"/>
  <c r="Q54" i="1" s="1"/>
  <c r="R99" i="1"/>
  <c r="Q100" i="1" s="1"/>
  <c r="R137" i="1"/>
  <c r="Q138" i="1" s="1"/>
  <c r="R5" i="1"/>
  <c r="Q6" i="1" s="1"/>
  <c r="S98" i="1"/>
  <c r="S136" i="1"/>
  <c r="S25" i="1"/>
  <c r="S70" i="1" l="1"/>
  <c r="R71" i="1"/>
  <c r="Q72" i="1" s="1"/>
  <c r="R54" i="1"/>
  <c r="Q55" i="1" s="1"/>
  <c r="S53" i="1"/>
  <c r="S6" i="1"/>
  <c r="R6" i="1"/>
  <c r="Q7" i="1" s="1"/>
  <c r="S5" i="1"/>
  <c r="R125" i="1"/>
  <c r="Q126" i="1" s="1"/>
  <c r="S125" i="1"/>
  <c r="R38" i="1"/>
  <c r="Q39" i="1" s="1"/>
  <c r="R100" i="1"/>
  <c r="Q101" i="1" s="1"/>
  <c r="S100" i="1"/>
  <c r="S99" i="1"/>
  <c r="S138" i="1"/>
  <c r="R138" i="1"/>
  <c r="Q139" i="1" s="1"/>
  <c r="R86" i="1"/>
  <c r="Q87" i="1" s="1"/>
  <c r="S137" i="1"/>
  <c r="S85" i="1"/>
  <c r="R29" i="1"/>
  <c r="Q28" i="1" s="1"/>
  <c r="S28" i="1" l="1"/>
  <c r="R28" i="1"/>
  <c r="Q27" i="1" s="1"/>
  <c r="S29" i="1"/>
  <c r="R39" i="1"/>
  <c r="Q40" i="1" s="1"/>
  <c r="R55" i="1"/>
  <c r="Q56" i="1" s="1"/>
  <c r="S86" i="1"/>
  <c r="S38" i="1"/>
  <c r="S54" i="1"/>
  <c r="R101" i="1"/>
  <c r="Q102" i="1" s="1"/>
  <c r="R72" i="1"/>
  <c r="Q73" i="1" s="1"/>
  <c r="R7" i="1"/>
  <c r="Q8" i="1" s="1"/>
  <c r="S87" i="1"/>
  <c r="R87" i="1"/>
  <c r="Q88" i="1" s="1"/>
  <c r="S139" i="1"/>
  <c r="R139" i="1"/>
  <c r="Q140" i="1" s="1"/>
  <c r="R126" i="1"/>
  <c r="Q127" i="1" s="1"/>
  <c r="S71" i="1"/>
  <c r="R127" i="1" l="1"/>
  <c r="Q128" i="1" s="1"/>
  <c r="R8" i="1"/>
  <c r="Q9" i="1" s="1"/>
  <c r="S7" i="1"/>
  <c r="R56" i="1"/>
  <c r="Q57" i="1" s="1"/>
  <c r="R73" i="1"/>
  <c r="Q74" i="1" s="1"/>
  <c r="S55" i="1"/>
  <c r="S72" i="1"/>
  <c r="R40" i="1"/>
  <c r="Q41" i="1" s="1"/>
  <c r="R140" i="1"/>
  <c r="Q141" i="1" s="1"/>
  <c r="R102" i="1"/>
  <c r="Q103" i="1" s="1"/>
  <c r="S39" i="1"/>
  <c r="S101" i="1"/>
  <c r="R88" i="1"/>
  <c r="Q89" i="1" s="1"/>
  <c r="S88" i="1"/>
  <c r="R27" i="1"/>
  <c r="Q26" i="1" s="1"/>
  <c r="S126" i="1"/>
  <c r="S103" i="1" l="1"/>
  <c r="R103" i="1"/>
  <c r="Q104" i="1" s="1"/>
  <c r="R74" i="1"/>
  <c r="Q75" i="1" s="1"/>
  <c r="R128" i="1"/>
  <c r="Q129" i="1" s="1"/>
  <c r="S102" i="1"/>
  <c r="S73" i="1"/>
  <c r="R26" i="1"/>
  <c r="Q31" i="1" s="1"/>
  <c r="R141" i="1"/>
  <c r="Q142" i="1" s="1"/>
  <c r="R57" i="1"/>
  <c r="Q58" i="1" s="1"/>
  <c r="S27" i="1"/>
  <c r="S140" i="1"/>
  <c r="S56" i="1"/>
  <c r="S41" i="1"/>
  <c r="R41" i="1"/>
  <c r="Q42" i="1" s="1"/>
  <c r="R89" i="1"/>
  <c r="Q90" i="1" s="1"/>
  <c r="S40" i="1"/>
  <c r="R9" i="1"/>
  <c r="Q10" i="1" s="1"/>
  <c r="S8" i="1"/>
  <c r="S127" i="1"/>
  <c r="S26" i="1" l="1"/>
  <c r="R10" i="1"/>
  <c r="Q11" i="1" s="1"/>
  <c r="S9" i="1"/>
  <c r="R58" i="1"/>
  <c r="Q59" i="1" s="1"/>
  <c r="R129" i="1"/>
  <c r="Q130" i="1" s="1"/>
  <c r="R90" i="1"/>
  <c r="Q91" i="1" s="1"/>
  <c r="S57" i="1"/>
  <c r="S128" i="1"/>
  <c r="S89" i="1"/>
  <c r="R142" i="1"/>
  <c r="Q143" i="1" s="1"/>
  <c r="S142" i="1"/>
  <c r="S75" i="1"/>
  <c r="R75" i="1"/>
  <c r="Q76" i="1" s="1"/>
  <c r="R42" i="1"/>
  <c r="Q43" i="1" s="1"/>
  <c r="S141" i="1"/>
  <c r="S74" i="1"/>
  <c r="R31" i="1"/>
  <c r="Q30" i="1" s="1"/>
  <c r="R104" i="1"/>
  <c r="Q105" i="1" s="1"/>
  <c r="R105" i="1" l="1"/>
  <c r="Q106" i="1" s="1"/>
  <c r="R130" i="1"/>
  <c r="Q131" i="1" s="1"/>
  <c r="R59" i="1"/>
  <c r="Q60" i="1" s="1"/>
  <c r="S31" i="1"/>
  <c r="S30" i="1"/>
  <c r="R30" i="1"/>
  <c r="S129" i="1"/>
  <c r="R143" i="1"/>
  <c r="Q144" i="1" s="1"/>
  <c r="S143" i="1"/>
  <c r="S58" i="1"/>
  <c r="R43" i="1"/>
  <c r="Q44" i="1" s="1"/>
  <c r="S11" i="1"/>
  <c r="R11" i="1"/>
  <c r="Q12" i="1" s="1"/>
  <c r="S42" i="1"/>
  <c r="R91" i="1"/>
  <c r="Q92" i="1" s="1"/>
  <c r="S10" i="1"/>
  <c r="S104" i="1"/>
  <c r="R76" i="1"/>
  <c r="Q77" i="1" s="1"/>
  <c r="S90" i="1"/>
  <c r="R77" i="1" l="1"/>
  <c r="Q78" i="1" s="1"/>
  <c r="S76" i="1"/>
  <c r="R92" i="1"/>
  <c r="Q93" i="1" s="1"/>
  <c r="S44" i="1"/>
  <c r="R44" i="1"/>
  <c r="Q45" i="1" s="1"/>
  <c r="S43" i="1"/>
  <c r="S60" i="1"/>
  <c r="R60" i="1"/>
  <c r="Q61" i="1" s="1"/>
  <c r="S59" i="1"/>
  <c r="R131" i="1"/>
  <c r="S131" i="1" s="1"/>
  <c r="S91" i="1"/>
  <c r="R144" i="1"/>
  <c r="Q145" i="1" s="1"/>
  <c r="S130" i="1"/>
  <c r="S106" i="1"/>
  <c r="R106" i="1"/>
  <c r="Q107" i="1" s="1"/>
  <c r="R12" i="1"/>
  <c r="Q13" i="1" s="1"/>
  <c r="S105" i="1"/>
  <c r="R145" i="1" l="1"/>
  <c r="Q146" i="1" s="1"/>
  <c r="S92" i="1"/>
  <c r="S78" i="1"/>
  <c r="R78" i="1"/>
  <c r="Q79" i="1" s="1"/>
  <c r="R45" i="1"/>
  <c r="S45" i="1" s="1"/>
  <c r="S13" i="1"/>
  <c r="R13" i="1"/>
  <c r="Q14" i="1" s="1"/>
  <c r="R107" i="1"/>
  <c r="Q108" i="1" s="1"/>
  <c r="S144" i="1"/>
  <c r="R93" i="1"/>
  <c r="S93" i="1"/>
  <c r="S12" i="1"/>
  <c r="S61" i="1"/>
  <c r="R61" i="1"/>
  <c r="Q62" i="1" s="1"/>
  <c r="S77" i="1"/>
  <c r="R79" i="1" l="1"/>
  <c r="S79" i="1"/>
  <c r="R108" i="1"/>
  <c r="Q109" i="1" s="1"/>
  <c r="R146" i="1"/>
  <c r="Q147" i="1" s="1"/>
  <c r="S107" i="1"/>
  <c r="S62" i="1"/>
  <c r="R62" i="1"/>
  <c r="R14" i="1"/>
  <c r="Q15" i="1" s="1"/>
  <c r="S145" i="1"/>
  <c r="R147" i="1" l="1"/>
  <c r="Q148" i="1" s="1"/>
  <c r="S146" i="1"/>
  <c r="R109" i="1"/>
  <c r="Q110" i="1" s="1"/>
  <c r="S108" i="1"/>
  <c r="R15" i="1"/>
  <c r="Q16" i="1" s="1"/>
  <c r="S14" i="1"/>
  <c r="S109" i="1" l="1"/>
  <c r="S16" i="1"/>
  <c r="R16" i="1"/>
  <c r="R110" i="1"/>
  <c r="Q111" i="1" s="1"/>
  <c r="S148" i="1"/>
  <c r="R148" i="1"/>
  <c r="S15" i="1"/>
  <c r="S147" i="1"/>
  <c r="R111" i="1" l="1"/>
  <c r="Q112" i="1" s="1"/>
  <c r="S110" i="1"/>
  <c r="S111" i="1" l="1"/>
  <c r="R112" i="1"/>
  <c r="Q113" i="1" s="1"/>
  <c r="R113" i="1" l="1"/>
  <c r="Q114" i="1" s="1"/>
  <c r="S112" i="1"/>
  <c r="S113" i="1" l="1"/>
  <c r="S114" i="1"/>
  <c r="R114" i="1"/>
  <c r="Q115" i="1" s="1"/>
  <c r="R115" i="1" l="1"/>
  <c r="Q116" i="1" s="1"/>
  <c r="R116" i="1" l="1"/>
  <c r="S116" i="1" s="1"/>
  <c r="S1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tc={1114CCBE-81ED-4A79-BA64-7DEED3B62AB5}</author>
    <author>tc={73212973-A0EB-4163-8F12-C882B383878F}</author>
  </authors>
  <commentList>
    <comment ref="M34" authorId="0" shapeId="0" xr:uid="{1114CCBE-81ED-4A79-BA64-7DEED3B62AB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Da Alqhatani
</t>
      </text>
    </comment>
    <comment ref="M49" authorId="1" shapeId="0" xr:uid="{73212973-A0EB-4163-8F12-C882B383878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Da Alqhatani
</t>
      </text>
    </comment>
  </commentList>
</comments>
</file>

<file path=xl/sharedStrings.xml><?xml version="1.0" encoding="utf-8"?>
<sst xmlns="http://schemas.openxmlformats.org/spreadsheetml/2006/main" count="955" uniqueCount="285">
  <si>
    <t>LabNo</t>
  </si>
  <si>
    <t>SubmitterName</t>
  </si>
  <si>
    <t>Site</t>
  </si>
  <si>
    <t>SampleID</t>
  </si>
  <si>
    <t>Individual</t>
  </si>
  <si>
    <t>Tooth</t>
  </si>
  <si>
    <t>Tooth2</t>
  </si>
  <si>
    <t>Slice (mm)</t>
  </si>
  <si>
    <t>sum of slices (mm)</t>
  </si>
  <si>
    <t>tooth tot length (mm)</t>
  </si>
  <si>
    <t>tooth completion (years)</t>
  </si>
  <si>
    <t>Crown formation time (years)</t>
  </si>
  <si>
    <t>Growth rate per tooth portion (years)</t>
  </si>
  <si>
    <t>Growth rate per slice (years)</t>
  </si>
  <si>
    <t>Start (years)</t>
  </si>
  <si>
    <t>End (years)</t>
  </si>
  <si>
    <t>Average (years)</t>
  </si>
  <si>
    <t>δ¹⁵N</t>
  </si>
  <si>
    <t>δ¹³C</t>
  </si>
  <si>
    <t>δ³⁴S</t>
  </si>
  <si>
    <t>%N</t>
  </si>
  <si>
    <t>%C</t>
  </si>
  <si>
    <t>%S</t>
  </si>
  <si>
    <t>CNMolar</t>
  </si>
  <si>
    <t>CSMolar</t>
  </si>
  <si>
    <t>NSMolar</t>
  </si>
  <si>
    <t>PAL001 - T2 - tooth 36 - Young-mid Ad ?M</t>
  </si>
  <si>
    <t>Crown (Cr3/4-Ci)</t>
  </si>
  <si>
    <t>GUsi13747</t>
  </si>
  <si>
    <t>Mary Anne Tafuri</t>
  </si>
  <si>
    <t>Titolo Palese</t>
  </si>
  <si>
    <t>PAL001_C6</t>
  </si>
  <si>
    <t>T2</t>
  </si>
  <si>
    <t xml:space="preserve">lower left first molar </t>
  </si>
  <si>
    <t>GUsi13746</t>
  </si>
  <si>
    <t>PAL001_C5</t>
  </si>
  <si>
    <t>GUsi13745</t>
  </si>
  <si>
    <t>PAL001_C4</t>
  </si>
  <si>
    <t>GUsi13744</t>
  </si>
  <si>
    <t>PAL001_C3</t>
  </si>
  <si>
    <t>GUsi13743</t>
  </si>
  <si>
    <t>PAL001_C2</t>
  </si>
  <si>
    <t>GUsi13742</t>
  </si>
  <si>
    <t>PAL001_C1</t>
  </si>
  <si>
    <t>Neck (R1/4-Cr3/4)</t>
  </si>
  <si>
    <t>GUsi13741</t>
  </si>
  <si>
    <t>PAL001_N2</t>
  </si>
  <si>
    <t>GUsi13740</t>
  </si>
  <si>
    <t>PAL001_N1</t>
  </si>
  <si>
    <t>Root (R3/4-R1/4)</t>
  </si>
  <si>
    <t>GUsi13739</t>
  </si>
  <si>
    <t>PAL001_R4</t>
  </si>
  <si>
    <t>GUsi13738</t>
  </si>
  <si>
    <t>PAL001_R3</t>
  </si>
  <si>
    <t>GUsi13737</t>
  </si>
  <si>
    <t>PAL001_R2</t>
  </si>
  <si>
    <t>GUsi13736</t>
  </si>
  <si>
    <t>PAL001_R1</t>
  </si>
  <si>
    <t>Apex (Ac-R3/4)</t>
  </si>
  <si>
    <t>GUsi13735</t>
  </si>
  <si>
    <t>PAL001_A2</t>
  </si>
  <si>
    <t>GUsi13734</t>
  </si>
  <si>
    <t>PAL001_A1</t>
  </si>
  <si>
    <t>GUsi13749</t>
  </si>
  <si>
    <t>PAL001_SC</t>
  </si>
  <si>
    <t>Lower left third molar</t>
  </si>
  <si>
    <t>secondary dentine (crown)</t>
  </si>
  <si>
    <t>GUsi13748</t>
  </si>
  <si>
    <t>PAL001_SR</t>
  </si>
  <si>
    <t>secondary dentine (root)</t>
  </si>
  <si>
    <t>Growth rate (years)</t>
  </si>
  <si>
    <t>PAL002 - T2 - tooth 37 - Young-mid Ad ?M</t>
  </si>
  <si>
    <t>GUsi13772</t>
  </si>
  <si>
    <t>PAL002_C1</t>
  </si>
  <si>
    <t>Lower left second molar</t>
  </si>
  <si>
    <t>GUsi13771</t>
  </si>
  <si>
    <t>PAL002_C2</t>
  </si>
  <si>
    <t>GUsi13770</t>
  </si>
  <si>
    <t>PAL002_N1</t>
  </si>
  <si>
    <t>GUsi13769</t>
  </si>
  <si>
    <t>PAL002_N2</t>
  </si>
  <si>
    <t>PAL002_R1</t>
  </si>
  <si>
    <t>GUsi13775</t>
  </si>
  <si>
    <t>PAL002_R2+R3</t>
  </si>
  <si>
    <t>PAL002_R4</t>
  </si>
  <si>
    <t>Root (Rc-R1/4)</t>
  </si>
  <si>
    <t>PAL002_R5</t>
  </si>
  <si>
    <t>PAL002_A1</t>
  </si>
  <si>
    <t>Apex (Ac-Rc)</t>
  </si>
  <si>
    <t>PAL002_A2</t>
  </si>
  <si>
    <t>PAL003 - T2 tooth 38 - Young-mid Ad ?M</t>
  </si>
  <si>
    <t>Crown (Cr1/2-Ci)</t>
  </si>
  <si>
    <t>GUsi13767</t>
  </si>
  <si>
    <t>PAL003_C3</t>
  </si>
  <si>
    <t>GUsi13766</t>
  </si>
  <si>
    <t>PAL003_C2</t>
  </si>
  <si>
    <t>GUsi13765</t>
  </si>
  <si>
    <t>PAL003_C1</t>
  </si>
  <si>
    <t>Neck (R1/4-Cr1/2)</t>
  </si>
  <si>
    <t>GUsi13764</t>
  </si>
  <si>
    <t>PAL003_N2</t>
  </si>
  <si>
    <t>GUsi13763</t>
  </si>
  <si>
    <t>PAL003_N1</t>
  </si>
  <si>
    <t>GUsi13762</t>
  </si>
  <si>
    <t>PAL003_R6</t>
  </si>
  <si>
    <t>GUsi13761</t>
  </si>
  <si>
    <t>PAL003_R5</t>
  </si>
  <si>
    <t>GUsi13776</t>
  </si>
  <si>
    <t>PAL003_R3+R4</t>
  </si>
  <si>
    <t>GUsi13777</t>
  </si>
  <si>
    <t>PAL003_R2+R1</t>
  </si>
  <si>
    <t>PAL003_A3</t>
  </si>
  <si>
    <t>GUsi13778</t>
  </si>
  <si>
    <t>PAL003_A1+A2</t>
  </si>
  <si>
    <t>GUsi13768</t>
  </si>
  <si>
    <t>PAL003_RS</t>
  </si>
  <si>
    <t>Secondary dentine (root)</t>
  </si>
  <si>
    <t>PAL004 - T3 - tooth 27 - Mid-old Ad ?M</t>
  </si>
  <si>
    <t>GUsi13760</t>
  </si>
  <si>
    <t>PAL004_C4</t>
  </si>
  <si>
    <t>T3</t>
  </si>
  <si>
    <t>upper left second molar</t>
  </si>
  <si>
    <t>GUsi13759</t>
  </si>
  <si>
    <t>PAL004_C3</t>
  </si>
  <si>
    <t>GUsi13758</t>
  </si>
  <si>
    <t>PAL004_C2</t>
  </si>
  <si>
    <t>GUsi13757</t>
  </si>
  <si>
    <t>PAL004_C1</t>
  </si>
  <si>
    <t>GUsi13756</t>
  </si>
  <si>
    <t>PAL004_N2</t>
  </si>
  <si>
    <t>PAL004_N1</t>
  </si>
  <si>
    <t>PAL004_R5</t>
  </si>
  <si>
    <t>GUsi13755</t>
  </si>
  <si>
    <t>PAL004_R4</t>
  </si>
  <si>
    <t>GUsi13754</t>
  </si>
  <si>
    <t>PAL004_R3</t>
  </si>
  <si>
    <t>GUsi13753</t>
  </si>
  <si>
    <t>PAL004_R2</t>
  </si>
  <si>
    <t>GUsi13752</t>
  </si>
  <si>
    <t>PAL004_R1</t>
  </si>
  <si>
    <t>GUsi13751</t>
  </si>
  <si>
    <t>PAL004_A2</t>
  </si>
  <si>
    <t>GUsi13750</t>
  </si>
  <si>
    <t>PAL004_A1</t>
  </si>
  <si>
    <t>PAL005 T6 - tooth 23 - Mid-old Adult M WORN (about 2 mm - section C7 and C8)</t>
  </si>
  <si>
    <t>Crown (Crc-Ci)</t>
  </si>
  <si>
    <t>PAL005_C8 (wear)</t>
  </si>
  <si>
    <t>T6</t>
  </si>
  <si>
    <t>upper left canine</t>
  </si>
  <si>
    <t>PAL005_C7 (wear)</t>
  </si>
  <si>
    <t>GUsi13733</t>
  </si>
  <si>
    <t>PAL005_C6</t>
  </si>
  <si>
    <t>GUsi13732</t>
  </si>
  <si>
    <t>PAL005_C5</t>
  </si>
  <si>
    <t>GUsi13731</t>
  </si>
  <si>
    <t>PAL005_C4</t>
  </si>
  <si>
    <t>GUsi13730</t>
  </si>
  <si>
    <t>PAL005_C3</t>
  </si>
  <si>
    <t>GUsi13729</t>
  </si>
  <si>
    <t>PAL005_C2</t>
  </si>
  <si>
    <t>GUsi13728</t>
  </si>
  <si>
    <t>PAL005_C1</t>
  </si>
  <si>
    <t>Neck (R1/4-Crc)</t>
  </si>
  <si>
    <t>GUsi13727</t>
  </si>
  <si>
    <t>PAL005_N1</t>
  </si>
  <si>
    <t>GUsi13773</t>
  </si>
  <si>
    <t>PAL005_R4+R5</t>
  </si>
  <si>
    <t>GUsi13726</t>
  </si>
  <si>
    <t>PAL005_R3</t>
  </si>
  <si>
    <t>GUsi13725</t>
  </si>
  <si>
    <t>PAL005_R2</t>
  </si>
  <si>
    <t>GUsi13724</t>
  </si>
  <si>
    <t>PAL005_R1</t>
  </si>
  <si>
    <t>GUsi13774</t>
  </si>
  <si>
    <t>PAL005_A1+A2</t>
  </si>
  <si>
    <t>PDC014 - tooth 26 - T5 young mid adult M</t>
  </si>
  <si>
    <t>GUsi14701</t>
  </si>
  <si>
    <t>Passo di Corvo</t>
  </si>
  <si>
    <t>PDC014_C6</t>
  </si>
  <si>
    <t>T5</t>
  </si>
  <si>
    <t xml:space="preserve"> upper left first molar</t>
  </si>
  <si>
    <t>GUsi14700</t>
  </si>
  <si>
    <t>PDC014_C5</t>
  </si>
  <si>
    <t>GUsi14699</t>
  </si>
  <si>
    <t>PDC014_C4</t>
  </si>
  <si>
    <t>GUsi14698</t>
  </si>
  <si>
    <t>PDC014_C3</t>
  </si>
  <si>
    <t>GUsi14697</t>
  </si>
  <si>
    <t>PDC014_C2</t>
  </si>
  <si>
    <t>GUsi14696</t>
  </si>
  <si>
    <t>PDC014_C1</t>
  </si>
  <si>
    <t>GUsi14695</t>
  </si>
  <si>
    <t>PDC014_N1</t>
  </si>
  <si>
    <t>GUsi14694</t>
  </si>
  <si>
    <t>PDC014_R3</t>
  </si>
  <si>
    <t>GUsi14693</t>
  </si>
  <si>
    <t>PDC014_R2</t>
  </si>
  <si>
    <t>GUsi14692</t>
  </si>
  <si>
    <t>PDC014_R1</t>
  </si>
  <si>
    <t>GUsi14691</t>
  </si>
  <si>
    <t>PDC014_A1</t>
  </si>
  <si>
    <t>PDC17 - tooth 16 - T11 young adult ND</t>
  </si>
  <si>
    <t>GUsi14725</t>
  </si>
  <si>
    <t>PDC017_C8</t>
  </si>
  <si>
    <t>T11</t>
  </si>
  <si>
    <t xml:space="preserve"> upper right first molar</t>
  </si>
  <si>
    <t>GUsi14724</t>
  </si>
  <si>
    <t>PDC017_C7</t>
  </si>
  <si>
    <t>GUsi14722</t>
  </si>
  <si>
    <t>PDC017_C6</t>
  </si>
  <si>
    <t>GUsi14721</t>
  </si>
  <si>
    <t>PDC017_C5</t>
  </si>
  <si>
    <t>GUsi14720</t>
  </si>
  <si>
    <t>PDC017_C4</t>
  </si>
  <si>
    <t>GUsi14719</t>
  </si>
  <si>
    <t>PDC017_C3</t>
  </si>
  <si>
    <t>GUsi14718</t>
  </si>
  <si>
    <t>PDC017_C2</t>
  </si>
  <si>
    <t>GUsi14717</t>
  </si>
  <si>
    <t>PDC017_C1</t>
  </si>
  <si>
    <t>GUsi14716</t>
  </si>
  <si>
    <t>PDC017_N2</t>
  </si>
  <si>
    <t>GUsi14715</t>
  </si>
  <si>
    <t>PDC017_N1</t>
  </si>
  <si>
    <t>GUsi14714</t>
  </si>
  <si>
    <t>PDC017_R8</t>
  </si>
  <si>
    <t>GUsi14713</t>
  </si>
  <si>
    <t>PDC017_R7</t>
  </si>
  <si>
    <t>GUsi14712</t>
  </si>
  <si>
    <t>PDC017_R6</t>
  </si>
  <si>
    <t>GUsi14711</t>
  </si>
  <si>
    <t>PDC017_R5</t>
  </si>
  <si>
    <t>GUsi14710</t>
  </si>
  <si>
    <t>PDC017_R4</t>
  </si>
  <si>
    <t>GUsi14709</t>
  </si>
  <si>
    <t>PDC017_R3</t>
  </si>
  <si>
    <t>PDC017_R2</t>
  </si>
  <si>
    <t>PDC017_R1</t>
  </si>
  <si>
    <t>PDC017_A2</t>
  </si>
  <si>
    <t>PDC017_A1</t>
  </si>
  <si>
    <t>PDC18 - tooth 28 - T11 young adult ND</t>
  </si>
  <si>
    <t>GUsi14723</t>
  </si>
  <si>
    <t>PDC018_C7</t>
  </si>
  <si>
    <t>upper left third molar</t>
  </si>
  <si>
    <t>GUsi14727</t>
  </si>
  <si>
    <t>PDC018_C6</t>
  </si>
  <si>
    <t>GUsi14726</t>
  </si>
  <si>
    <t>PDC018_C5</t>
  </si>
  <si>
    <t>GUsi14708</t>
  </si>
  <si>
    <t>PDC018_C4</t>
  </si>
  <si>
    <t>GUsi14707</t>
  </si>
  <si>
    <t>PDC018_C3</t>
  </si>
  <si>
    <t>GUsi14706</t>
  </si>
  <si>
    <t>PDC018_C2</t>
  </si>
  <si>
    <t>GUsi14705</t>
  </si>
  <si>
    <t>PDC018_C1</t>
  </si>
  <si>
    <t>GUsi14704</t>
  </si>
  <si>
    <t>PDC018_N2</t>
  </si>
  <si>
    <t>GUsi14703</t>
  </si>
  <si>
    <t>PDC018_N1</t>
  </si>
  <si>
    <t>GUsi14702</t>
  </si>
  <si>
    <t>PDC018_R3</t>
  </si>
  <si>
    <t>GUsi14729</t>
  </si>
  <si>
    <t>PDC018_R1+R2</t>
  </si>
  <si>
    <t>GUsi14730</t>
  </si>
  <si>
    <t>PDC018_A1+A2</t>
  </si>
  <si>
    <t>PC 10b - tooth 26 - adult M (Sara Bernardini)</t>
  </si>
  <si>
    <t>entire tooth</t>
  </si>
  <si>
    <t>Sara Bernardini</t>
  </si>
  <si>
    <t>wear</t>
  </si>
  <si>
    <t>T10b</t>
  </si>
  <si>
    <t>lower right first molar</t>
  </si>
  <si>
    <t>PC 10b I</t>
  </si>
  <si>
    <t>PC 10b II</t>
  </si>
  <si>
    <t>PC 10b III</t>
  </si>
  <si>
    <t>PC 10b IV</t>
  </si>
  <si>
    <t>PC 10b V</t>
  </si>
  <si>
    <t>PC 10b VI</t>
  </si>
  <si>
    <t>PC 10b VII</t>
  </si>
  <si>
    <t>PC 10b VIII</t>
  </si>
  <si>
    <t>PC 10b IX</t>
  </si>
  <si>
    <t>PC 10b X</t>
  </si>
  <si>
    <t>PC 10b XI</t>
  </si>
  <si>
    <t>PC 10b XII</t>
  </si>
  <si>
    <t>PC 10b XIII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</si>
</sst>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/>
    <xf numFmtId="164" fontId="2" fillId="2" borderId="0" xfId="0" applyNumberFormat="1" applyFont="1" applyFill="1"/>
    <xf numFmtId="2" fontId="2" fillId="2" borderId="0" xfId="0" applyNumberFormat="1" applyFont="1" applyFill="1"/>
    <xf numFmtId="0" fontId="0" fillId="3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4" borderId="0" xfId="0" applyFill="1"/>
    <xf numFmtId="164" fontId="0" fillId="4" borderId="0" xfId="0" applyNumberFormat="1" applyFill="1"/>
    <xf numFmtId="164" fontId="0" fillId="0" borderId="0" xfId="0" applyNumberFormat="1"/>
    <xf numFmtId="2" fontId="0" fillId="0" borderId="0" xfId="0" applyNumberFormat="1"/>
    <xf numFmtId="2" fontId="1" fillId="4" borderId="0" xfId="0" applyNumberFormat="1" applyFont="1" applyFill="1"/>
    <xf numFmtId="0" fontId="1" fillId="4" borderId="0" xfId="0" applyFont="1" applyFill="1"/>
    <xf numFmtId="0" fontId="0" fillId="5" borderId="0" xfId="0" applyFill="1"/>
    <xf numFmtId="164" fontId="0" fillId="5" borderId="0" xfId="0" applyNumberFormat="1" applyFill="1"/>
    <xf numFmtId="2" fontId="1" fillId="5" borderId="0" xfId="0" applyNumberFormat="1" applyFont="1" applyFill="1"/>
    <xf numFmtId="0" fontId="0" fillId="6" borderId="0" xfId="0" applyFill="1"/>
    <xf numFmtId="164" fontId="0" fillId="6" borderId="0" xfId="0" applyNumberFormat="1" applyFill="1"/>
    <xf numFmtId="2" fontId="1" fillId="6" borderId="0" xfId="0" applyNumberFormat="1" applyFont="1" applyFill="1"/>
    <xf numFmtId="0" fontId="1" fillId="6" borderId="0" xfId="0" applyFont="1" applyFill="1"/>
    <xf numFmtId="0" fontId="0" fillId="7" borderId="0" xfId="0" applyFill="1"/>
    <xf numFmtId="164" fontId="0" fillId="7" borderId="0" xfId="0" applyNumberFormat="1" applyFill="1"/>
    <xf numFmtId="2" fontId="1" fillId="7" borderId="0" xfId="0" applyNumberFormat="1" applyFont="1" applyFill="1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0" fillId="8" borderId="0" xfId="0" applyFill="1"/>
    <xf numFmtId="0" fontId="1" fillId="8" borderId="0" xfId="0" applyFont="1" applyFill="1"/>
    <xf numFmtId="0" fontId="0" fillId="2" borderId="0" xfId="0" applyFill="1"/>
    <xf numFmtId="164" fontId="1" fillId="4" borderId="0" xfId="0" applyNumberFormat="1" applyFont="1" applyFill="1"/>
    <xf numFmtId="2" fontId="0" fillId="4" borderId="0" xfId="0" applyNumberFormat="1" applyFill="1"/>
    <xf numFmtId="164" fontId="1" fillId="5" borderId="0" xfId="0" applyNumberFormat="1" applyFont="1" applyFill="1"/>
    <xf numFmtId="2" fontId="0" fillId="5" borderId="0" xfId="0" applyNumberFormat="1" applyFill="1"/>
    <xf numFmtId="0" fontId="2" fillId="6" borderId="0" xfId="0" applyFont="1" applyFill="1"/>
    <xf numFmtId="164" fontId="1" fillId="6" borderId="0" xfId="0" applyNumberFormat="1" applyFont="1" applyFill="1"/>
    <xf numFmtId="2" fontId="0" fillId="6" borderId="0" xfId="0" applyNumberFormat="1" applyFill="1"/>
    <xf numFmtId="0" fontId="2" fillId="7" borderId="0" xfId="0" applyFont="1" applyFill="1"/>
    <xf numFmtId="164" fontId="1" fillId="7" borderId="0" xfId="0" applyNumberFormat="1" applyFont="1" applyFill="1"/>
    <xf numFmtId="2" fontId="0" fillId="7" borderId="0" xfId="0" applyNumberFormat="1" applyFill="1"/>
    <xf numFmtId="0" fontId="2" fillId="0" borderId="0" xfId="0" applyFont="1" applyAlignment="1">
      <alignment horizontal="center" vertical="center"/>
    </xf>
    <xf numFmtId="164" fontId="0" fillId="8" borderId="0" xfId="0" applyNumberFormat="1" applyFill="1"/>
    <xf numFmtId="2" fontId="0" fillId="8" borderId="0" xfId="0" applyNumberFormat="1" applyFill="1"/>
    <xf numFmtId="0" fontId="2" fillId="4" borderId="0" xfId="0" applyFont="1" applyFill="1"/>
    <xf numFmtId="164" fontId="2" fillId="4" borderId="0" xfId="0" applyNumberFormat="1" applyFont="1" applyFill="1"/>
    <xf numFmtId="2" fontId="2" fillId="4" borderId="0" xfId="0" applyNumberFormat="1" applyFont="1" applyFill="1"/>
    <xf numFmtId="0" fontId="1" fillId="5" borderId="0" xfId="0" applyFont="1" applyFill="1"/>
    <xf numFmtId="0" fontId="1" fillId="7" borderId="0" xfId="0" applyFont="1" applyFill="1"/>
    <xf numFmtId="0" fontId="0" fillId="9" borderId="0" xfId="0" applyFill="1"/>
    <xf numFmtId="164" fontId="0" fillId="9" borderId="0" xfId="0" applyNumberFormat="1" applyFill="1"/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164" fontId="0" fillId="5" borderId="0" xfId="0" applyNumberFormat="1" applyFill="1" applyAlignment="1">
      <alignment horizontal="right" vertical="center"/>
    </xf>
    <xf numFmtId="164" fontId="0" fillId="5" borderId="0" xfId="0" applyNumberFormat="1" applyFill="1" applyAlignment="1">
      <alignment horizontal="right"/>
    </xf>
    <xf numFmtId="0" fontId="2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 applyAlignment="1">
      <alignment horizontal="right" vertical="center"/>
    </xf>
    <xf numFmtId="164" fontId="0" fillId="7" borderId="0" xfId="0" applyNumberFormat="1" applyFill="1" applyAlignment="1">
      <alignment horizontal="right"/>
    </xf>
    <xf numFmtId="0" fontId="2" fillId="9" borderId="0" xfId="0" applyFont="1" applyFill="1" applyAlignment="1">
      <alignment vertical="center"/>
    </xf>
    <xf numFmtId="164" fontId="0" fillId="9" borderId="0" xfId="0" applyNumberFormat="1" applyFill="1" applyAlignment="1">
      <alignment horizontal="right" vertical="center"/>
    </xf>
    <xf numFmtId="0" fontId="2" fillId="6" borderId="0" xfId="0" applyFont="1" applyFill="1" applyAlignment="1">
      <alignment vertical="center"/>
    </xf>
    <xf numFmtId="164" fontId="0" fillId="6" borderId="0" xfId="0" applyNumberFormat="1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ilvia Soncin" id="{63AD83D5-F868-4180-9DF2-D2B5802589BA}" userId="S::silvia.soncin@uniroma1.it::b87be157-02b0-43ab-b89e-5550aff7672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34" dT="2022-10-06T12:59:31.54" personId="{63AD83D5-F868-4180-9DF2-D2B5802589BA}" id="{1114CCBE-81ED-4A79-BA64-7DEED3B62AB5}">
    <text xml:space="preserve">Da Alqhatani
</text>
  </threadedComment>
  <threadedComment ref="M49" dT="2022-10-06T12:59:31.54" personId="{63AD83D5-F868-4180-9DF2-D2B5802589BA}" id="{73212973-A0EB-4163-8F12-C882B383878F}">
    <text xml:space="preserve">Da Alqhatani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2637-3DC3-4DEC-894C-E59C77DED706}">
  <dimension ref="A1:AE148"/>
  <sheetViews>
    <sheetView tabSelected="1" topLeftCell="A118" zoomScale="64" zoomScaleNormal="64" workbookViewId="0">
      <selection activeCell="C66" sqref="C66"/>
    </sheetView>
  </sheetViews>
  <sheetFormatPr defaultRowHeight="14.4" x14ac:dyDescent="0.3"/>
  <cols>
    <col min="1" max="1" width="7.88671875" customWidth="1"/>
    <col min="2" max="2" width="16.88671875" bestFit="1" customWidth="1"/>
    <col min="6" max="6" width="19.109375" bestFit="1" customWidth="1"/>
    <col min="14" max="15" width="9.5546875" bestFit="1" customWidth="1"/>
    <col min="16" max="16" width="10.6640625" bestFit="1" customWidth="1"/>
    <col min="17" max="19" width="9.5546875" bestFit="1" customWidth="1"/>
    <col min="30" max="30" width="14.5546875" bestFit="1" customWidth="1"/>
  </cols>
  <sheetData>
    <row r="1" spans="1:31" ht="72" x14ac:dyDescent="0.3"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3" t="s">
        <v>22</v>
      </c>
      <c r="Z1" s="1" t="s">
        <v>23</v>
      </c>
      <c r="AA1" s="1" t="s">
        <v>24</v>
      </c>
      <c r="AB1" s="1" t="s">
        <v>25</v>
      </c>
    </row>
    <row r="2" spans="1:31" x14ac:dyDescent="0.3">
      <c r="C2" s="4"/>
      <c r="D2" s="4"/>
      <c r="E2" s="4"/>
      <c r="F2" s="4"/>
      <c r="G2" s="4"/>
      <c r="H2" s="4"/>
      <c r="I2" s="4"/>
      <c r="J2" s="4"/>
      <c r="K2" s="4"/>
      <c r="L2" s="4">
        <f>SUM(J3:J16)</f>
        <v>18.300000000000004</v>
      </c>
      <c r="M2" s="5">
        <f>(10.5-0.375)</f>
        <v>10.125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/>
      <c r="AA2" s="4"/>
      <c r="AB2" s="4"/>
    </row>
    <row r="3" spans="1:31" ht="15" customHeight="1" x14ac:dyDescent="0.3">
      <c r="A3" s="7" t="s">
        <v>26</v>
      </c>
      <c r="B3" s="8" t="s">
        <v>27</v>
      </c>
      <c r="C3" s="9" t="s">
        <v>28</v>
      </c>
      <c r="D3" s="9" t="s">
        <v>29</v>
      </c>
      <c r="E3" s="9" t="s">
        <v>30</v>
      </c>
      <c r="F3" s="9" t="s">
        <v>31</v>
      </c>
      <c r="G3" s="9" t="s">
        <v>32</v>
      </c>
      <c r="H3" s="9">
        <v>36</v>
      </c>
      <c r="I3" s="9" t="s">
        <v>33</v>
      </c>
      <c r="J3" s="9">
        <v>1.6</v>
      </c>
      <c r="K3" s="9">
        <f>SUM(J3:J8)</f>
        <v>9.3000000000000007</v>
      </c>
      <c r="L3" s="9"/>
      <c r="M3" s="9"/>
      <c r="N3" s="10">
        <f>2.5-0.375</f>
        <v>2.125</v>
      </c>
      <c r="O3" s="10">
        <f>N3/K3</f>
        <v>0.22849462365591397</v>
      </c>
      <c r="P3" s="10">
        <f>$O$3*J3</f>
        <v>0.36559139784946237</v>
      </c>
      <c r="Q3" s="10">
        <v>0.375</v>
      </c>
      <c r="R3" s="10">
        <f>P3+Q3</f>
        <v>0.74059139784946237</v>
      </c>
      <c r="S3" s="10">
        <f>AVERAGE(Q3:R3)</f>
        <v>0.55779569892473124</v>
      </c>
      <c r="T3" s="9">
        <v>11.8</v>
      </c>
      <c r="U3" s="9">
        <v>-18.7</v>
      </c>
      <c r="V3" s="9">
        <v>10</v>
      </c>
      <c r="W3" s="9">
        <v>14.9</v>
      </c>
      <c r="X3" s="9">
        <v>41.4</v>
      </c>
      <c r="Y3" s="9">
        <v>0.17</v>
      </c>
      <c r="Z3" s="9">
        <v>3.2</v>
      </c>
      <c r="AA3" s="9">
        <v>644</v>
      </c>
      <c r="AB3" s="9">
        <v>198</v>
      </c>
      <c r="AC3" s="11"/>
      <c r="AD3" s="11"/>
      <c r="AE3" s="12"/>
    </row>
    <row r="4" spans="1:31" x14ac:dyDescent="0.3">
      <c r="A4" s="7"/>
      <c r="B4" s="8"/>
      <c r="C4" s="9" t="s">
        <v>34</v>
      </c>
      <c r="D4" s="9" t="s">
        <v>29</v>
      </c>
      <c r="E4" s="9" t="s">
        <v>30</v>
      </c>
      <c r="F4" s="9" t="s">
        <v>35</v>
      </c>
      <c r="G4" s="9" t="s">
        <v>32</v>
      </c>
      <c r="H4" s="9">
        <v>36</v>
      </c>
      <c r="I4" s="9" t="s">
        <v>33</v>
      </c>
      <c r="J4" s="9">
        <v>1.6</v>
      </c>
      <c r="K4" s="9"/>
      <c r="L4" s="9"/>
      <c r="M4" s="9"/>
      <c r="N4" s="10"/>
      <c r="O4" s="10"/>
      <c r="P4" s="10">
        <f>$O$3*J4</f>
        <v>0.36559139784946237</v>
      </c>
      <c r="Q4" s="13">
        <f>R3+0.01</f>
        <v>0.75059139784946238</v>
      </c>
      <c r="R4" s="10">
        <f>P4+Q4</f>
        <v>1.1161827956989248</v>
      </c>
      <c r="S4" s="10">
        <f t="shared" ref="S4:S8" si="0">AVERAGE(Q4:R4)</f>
        <v>0.93338709677419351</v>
      </c>
      <c r="T4" s="9">
        <v>10.1</v>
      </c>
      <c r="U4" s="9">
        <v>-19.2</v>
      </c>
      <c r="V4" s="9">
        <v>8.9</v>
      </c>
      <c r="W4" s="9">
        <v>13.7</v>
      </c>
      <c r="X4" s="9">
        <v>37.299999999999997</v>
      </c>
      <c r="Y4" s="9">
        <v>0.19</v>
      </c>
      <c r="Z4" s="9">
        <v>3.2</v>
      </c>
      <c r="AA4" s="9">
        <v>528</v>
      </c>
      <c r="AB4" s="9">
        <v>166</v>
      </c>
      <c r="AC4" s="11"/>
      <c r="AD4" s="11"/>
      <c r="AE4" s="12"/>
    </row>
    <row r="5" spans="1:31" x14ac:dyDescent="0.3">
      <c r="A5" s="7"/>
      <c r="B5" s="8"/>
      <c r="C5" s="9" t="s">
        <v>36</v>
      </c>
      <c r="D5" s="9" t="s">
        <v>29</v>
      </c>
      <c r="E5" s="9" t="s">
        <v>30</v>
      </c>
      <c r="F5" s="9" t="s">
        <v>37</v>
      </c>
      <c r="G5" s="9" t="s">
        <v>32</v>
      </c>
      <c r="H5" s="9">
        <v>36</v>
      </c>
      <c r="I5" s="9" t="s">
        <v>33</v>
      </c>
      <c r="J5" s="9">
        <v>1.6</v>
      </c>
      <c r="K5" s="9"/>
      <c r="L5" s="14"/>
      <c r="M5" s="9"/>
      <c r="N5" s="10"/>
      <c r="O5" s="10"/>
      <c r="P5" s="10">
        <f t="shared" ref="P5:P8" si="1">$O$3*J5</f>
        <v>0.36559139784946237</v>
      </c>
      <c r="Q5" s="13">
        <f t="shared" ref="Q5:Q10" si="2">R4+0.01</f>
        <v>1.1261827956989248</v>
      </c>
      <c r="R5" s="10">
        <f t="shared" ref="R5:R8" si="3">P5+Q5</f>
        <v>1.491774193548387</v>
      </c>
      <c r="S5" s="10">
        <f t="shared" si="0"/>
        <v>1.308978494623656</v>
      </c>
      <c r="T5" s="9">
        <v>8.6</v>
      </c>
      <c r="U5" s="9">
        <v>-19.7</v>
      </c>
      <c r="V5" s="9">
        <v>10.8</v>
      </c>
      <c r="W5" s="9">
        <v>13</v>
      </c>
      <c r="X5" s="9">
        <v>36.1</v>
      </c>
      <c r="Y5" s="9">
        <v>0.18</v>
      </c>
      <c r="Z5" s="9">
        <v>3.2</v>
      </c>
      <c r="AA5" s="9">
        <v>542</v>
      </c>
      <c r="AB5" s="9">
        <v>167</v>
      </c>
      <c r="AC5" s="11"/>
      <c r="AD5" s="11"/>
      <c r="AE5" s="12"/>
    </row>
    <row r="6" spans="1:31" x14ac:dyDescent="0.3">
      <c r="A6" s="7"/>
      <c r="B6" s="8"/>
      <c r="C6" s="9" t="s">
        <v>38</v>
      </c>
      <c r="D6" s="9" t="s">
        <v>29</v>
      </c>
      <c r="E6" s="9" t="s">
        <v>30</v>
      </c>
      <c r="F6" s="9" t="s">
        <v>39</v>
      </c>
      <c r="G6" s="9" t="s">
        <v>32</v>
      </c>
      <c r="H6" s="9">
        <v>36</v>
      </c>
      <c r="I6" s="9" t="s">
        <v>33</v>
      </c>
      <c r="J6" s="9">
        <v>1.3</v>
      </c>
      <c r="K6" s="9"/>
      <c r="L6" s="9"/>
      <c r="M6" s="9"/>
      <c r="N6" s="10"/>
      <c r="O6" s="10"/>
      <c r="P6" s="10">
        <f t="shared" si="1"/>
        <v>0.29704301075268819</v>
      </c>
      <c r="Q6" s="13">
        <f t="shared" si="2"/>
        <v>1.501774193548387</v>
      </c>
      <c r="R6" s="10">
        <f t="shared" si="3"/>
        <v>1.7988172043010753</v>
      </c>
      <c r="S6" s="10">
        <f t="shared" si="0"/>
        <v>1.6502956989247313</v>
      </c>
      <c r="T6" s="9">
        <v>8.1</v>
      </c>
      <c r="U6" s="9">
        <v>-19.3</v>
      </c>
      <c r="V6" s="9">
        <v>11.5</v>
      </c>
      <c r="W6" s="9">
        <v>16.3</v>
      </c>
      <c r="X6" s="9">
        <v>44.7</v>
      </c>
      <c r="Y6" s="9">
        <v>0.2</v>
      </c>
      <c r="Z6" s="9">
        <v>3.2</v>
      </c>
      <c r="AA6" s="9">
        <v>596</v>
      </c>
      <c r="AB6" s="9">
        <v>186</v>
      </c>
      <c r="AC6" s="11"/>
      <c r="AD6" s="11"/>
      <c r="AE6" s="12"/>
    </row>
    <row r="7" spans="1:31" x14ac:dyDescent="0.3">
      <c r="A7" s="7"/>
      <c r="B7" s="8"/>
      <c r="C7" s="9" t="s">
        <v>40</v>
      </c>
      <c r="D7" s="9" t="s">
        <v>29</v>
      </c>
      <c r="E7" s="9" t="s">
        <v>30</v>
      </c>
      <c r="F7" s="9" t="s">
        <v>41</v>
      </c>
      <c r="G7" s="9" t="s">
        <v>32</v>
      </c>
      <c r="H7" s="9">
        <v>36</v>
      </c>
      <c r="I7" s="9" t="s">
        <v>33</v>
      </c>
      <c r="J7" s="9">
        <v>1.6</v>
      </c>
      <c r="K7" s="9"/>
      <c r="L7" s="9"/>
      <c r="M7" s="9"/>
      <c r="N7" s="10"/>
      <c r="O7" s="10"/>
      <c r="P7" s="10">
        <f t="shared" si="1"/>
        <v>0.36559139784946237</v>
      </c>
      <c r="Q7" s="13">
        <f t="shared" si="2"/>
        <v>1.8088172043010753</v>
      </c>
      <c r="R7" s="10">
        <f t="shared" si="3"/>
        <v>2.1744086021505376</v>
      </c>
      <c r="S7" s="10">
        <f t="shared" si="0"/>
        <v>1.9916129032258065</v>
      </c>
      <c r="T7" s="9">
        <v>8</v>
      </c>
      <c r="U7" s="9">
        <v>-19.3</v>
      </c>
      <c r="V7" s="9">
        <v>11.2</v>
      </c>
      <c r="W7" s="9">
        <v>13.6</v>
      </c>
      <c r="X7" s="9">
        <v>37.9</v>
      </c>
      <c r="Y7" s="9">
        <v>0.17</v>
      </c>
      <c r="Z7" s="9">
        <v>3.2</v>
      </c>
      <c r="AA7" s="9">
        <v>579</v>
      </c>
      <c r="AB7" s="9">
        <v>179</v>
      </c>
      <c r="AC7" s="11"/>
      <c r="AD7" s="11"/>
      <c r="AE7" s="12"/>
    </row>
    <row r="8" spans="1:31" x14ac:dyDescent="0.3">
      <c r="A8" s="7"/>
      <c r="B8" s="8"/>
      <c r="C8" s="9" t="s">
        <v>42</v>
      </c>
      <c r="D8" s="9" t="s">
        <v>29</v>
      </c>
      <c r="E8" s="9" t="s">
        <v>30</v>
      </c>
      <c r="F8" s="9" t="s">
        <v>43</v>
      </c>
      <c r="G8" s="9" t="s">
        <v>32</v>
      </c>
      <c r="H8" s="9">
        <v>36</v>
      </c>
      <c r="I8" s="9" t="s">
        <v>33</v>
      </c>
      <c r="J8" s="9">
        <v>1.6</v>
      </c>
      <c r="K8" s="9"/>
      <c r="L8" s="9"/>
      <c r="M8" s="9"/>
      <c r="N8" s="10"/>
      <c r="O8" s="10"/>
      <c r="P8" s="10">
        <f t="shared" si="1"/>
        <v>0.36559139784946237</v>
      </c>
      <c r="Q8" s="13">
        <f t="shared" si="2"/>
        <v>2.1844086021505373</v>
      </c>
      <c r="R8" s="10">
        <f t="shared" si="3"/>
        <v>2.5499999999999998</v>
      </c>
      <c r="S8" s="10">
        <f t="shared" si="0"/>
        <v>2.3672043010752688</v>
      </c>
      <c r="T8" s="9">
        <v>7.8</v>
      </c>
      <c r="U8" s="9">
        <v>-19.3</v>
      </c>
      <c r="V8" s="9">
        <v>10.7</v>
      </c>
      <c r="W8" s="9">
        <v>15.5</v>
      </c>
      <c r="X8" s="9">
        <v>43</v>
      </c>
      <c r="Y8" s="9">
        <v>0.22</v>
      </c>
      <c r="Z8" s="9">
        <v>3.2</v>
      </c>
      <c r="AA8" s="9">
        <v>521</v>
      </c>
      <c r="AB8" s="9">
        <v>161</v>
      </c>
      <c r="AC8" s="11"/>
      <c r="AD8" s="11"/>
      <c r="AE8" s="12"/>
    </row>
    <row r="9" spans="1:31" x14ac:dyDescent="0.3">
      <c r="A9" s="7"/>
      <c r="B9" s="8" t="s">
        <v>44</v>
      </c>
      <c r="C9" s="15" t="s">
        <v>45</v>
      </c>
      <c r="D9" s="15" t="s">
        <v>29</v>
      </c>
      <c r="E9" s="15" t="s">
        <v>30</v>
      </c>
      <c r="F9" s="15" t="s">
        <v>46</v>
      </c>
      <c r="G9" s="15" t="s">
        <v>32</v>
      </c>
      <c r="H9" s="15">
        <v>36</v>
      </c>
      <c r="I9" s="15" t="s">
        <v>33</v>
      </c>
      <c r="J9" s="15">
        <v>1.1000000000000001</v>
      </c>
      <c r="K9" s="15">
        <f>SUM(J9:J10)</f>
        <v>2.2000000000000002</v>
      </c>
      <c r="L9" s="15"/>
      <c r="M9" s="15"/>
      <c r="N9" s="15">
        <f>4.5-2.5</f>
        <v>2</v>
      </c>
      <c r="O9" s="16">
        <f>N9/K9</f>
        <v>0.90909090909090906</v>
      </c>
      <c r="P9" s="16">
        <f>$O$9*J9</f>
        <v>1</v>
      </c>
      <c r="Q9" s="17">
        <f t="shared" si="2"/>
        <v>2.5599999999999996</v>
      </c>
      <c r="R9" s="16">
        <f>P9+Q9</f>
        <v>3.5599999999999996</v>
      </c>
      <c r="S9" s="16">
        <f>AVERAGE(Q9:R9)</f>
        <v>3.0599999999999996</v>
      </c>
      <c r="T9" s="15">
        <v>7.6</v>
      </c>
      <c r="U9" s="15">
        <v>-19.5</v>
      </c>
      <c r="V9" s="15">
        <v>11.4</v>
      </c>
      <c r="W9" s="15">
        <v>11.1</v>
      </c>
      <c r="X9" s="15">
        <v>31.1</v>
      </c>
      <c r="Y9" s="15">
        <v>0.21</v>
      </c>
      <c r="Z9" s="15">
        <v>3.3</v>
      </c>
      <c r="AA9" s="15">
        <v>399</v>
      </c>
      <c r="AB9" s="15">
        <v>122</v>
      </c>
      <c r="AC9" s="11"/>
      <c r="AD9" s="11"/>
      <c r="AE9" s="12"/>
    </row>
    <row r="10" spans="1:31" x14ac:dyDescent="0.3">
      <c r="A10" s="7"/>
      <c r="B10" s="8"/>
      <c r="C10" s="15" t="s">
        <v>47</v>
      </c>
      <c r="D10" s="15" t="s">
        <v>29</v>
      </c>
      <c r="E10" s="15" t="s">
        <v>30</v>
      </c>
      <c r="F10" s="15" t="s">
        <v>48</v>
      </c>
      <c r="G10" s="15" t="s">
        <v>32</v>
      </c>
      <c r="H10" s="15">
        <v>36</v>
      </c>
      <c r="I10" s="15" t="s">
        <v>33</v>
      </c>
      <c r="J10" s="15">
        <v>1.1000000000000001</v>
      </c>
      <c r="K10" s="15"/>
      <c r="L10" s="15"/>
      <c r="M10" s="15"/>
      <c r="N10" s="15"/>
      <c r="O10" s="15"/>
      <c r="P10" s="16">
        <f>$O$9*J10</f>
        <v>1</v>
      </c>
      <c r="Q10" s="17">
        <f t="shared" si="2"/>
        <v>3.5699999999999994</v>
      </c>
      <c r="R10" s="16">
        <f t="shared" ref="R10" si="4">P10+Q10</f>
        <v>4.5699999999999994</v>
      </c>
      <c r="S10" s="16">
        <f t="shared" ref="S10" si="5">AVERAGE(Q10:R10)</f>
        <v>4.0699999999999994</v>
      </c>
      <c r="T10" s="15"/>
      <c r="U10" s="15"/>
      <c r="V10" s="15"/>
      <c r="W10" s="15"/>
      <c r="X10" s="15"/>
      <c r="Y10" s="15"/>
      <c r="Z10" s="15"/>
      <c r="AA10" s="15"/>
      <c r="AB10" s="15"/>
      <c r="AC10" s="11"/>
      <c r="AD10" s="11"/>
      <c r="AE10" s="12"/>
    </row>
    <row r="11" spans="1:31" x14ac:dyDescent="0.3">
      <c r="A11" s="7"/>
      <c r="B11" s="8" t="s">
        <v>49</v>
      </c>
      <c r="C11" s="18" t="s">
        <v>50</v>
      </c>
      <c r="D11" s="18" t="s">
        <v>29</v>
      </c>
      <c r="E11" s="18" t="s">
        <v>30</v>
      </c>
      <c r="F11" s="18" t="s">
        <v>51</v>
      </c>
      <c r="G11" s="18" t="s">
        <v>32</v>
      </c>
      <c r="H11" s="18">
        <v>36</v>
      </c>
      <c r="I11" s="18" t="s">
        <v>33</v>
      </c>
      <c r="J11" s="18">
        <v>1.3</v>
      </c>
      <c r="K11" s="18">
        <f>SUM(J11:J14)</f>
        <v>4.6000000000000005</v>
      </c>
      <c r="L11" s="18"/>
      <c r="M11" s="18"/>
      <c r="N11" s="18">
        <f>8.5-4.5</f>
        <v>4</v>
      </c>
      <c r="O11" s="19">
        <f>N11/K11</f>
        <v>0.86956521739130421</v>
      </c>
      <c r="P11" s="19">
        <f>$O$11*J11</f>
        <v>1.1304347826086956</v>
      </c>
      <c r="Q11" s="20">
        <f>R10+0.01</f>
        <v>4.5799999999999992</v>
      </c>
      <c r="R11" s="19">
        <f>P11+Q11</f>
        <v>5.7104347826086945</v>
      </c>
      <c r="S11" s="19">
        <f>AVERAGE(Q11:R11)</f>
        <v>5.1452173913043469</v>
      </c>
      <c r="T11" s="18">
        <v>7.8</v>
      </c>
      <c r="U11" s="18">
        <v>-20.2</v>
      </c>
      <c r="V11" s="18">
        <v>11.2</v>
      </c>
      <c r="W11" s="18">
        <v>4.8</v>
      </c>
      <c r="X11" s="18">
        <v>14.2</v>
      </c>
      <c r="Y11" s="18">
        <v>0.13</v>
      </c>
      <c r="Z11" s="18">
        <v>3.5</v>
      </c>
      <c r="AA11" s="18">
        <v>296</v>
      </c>
      <c r="AB11" s="18">
        <v>85</v>
      </c>
      <c r="AC11" s="11"/>
      <c r="AD11" s="11"/>
      <c r="AE11" s="12"/>
    </row>
    <row r="12" spans="1:31" x14ac:dyDescent="0.3">
      <c r="A12" s="7"/>
      <c r="B12" s="8"/>
      <c r="C12" s="18" t="s">
        <v>52</v>
      </c>
      <c r="D12" s="18" t="s">
        <v>29</v>
      </c>
      <c r="E12" s="18" t="s">
        <v>30</v>
      </c>
      <c r="F12" s="18" t="s">
        <v>53</v>
      </c>
      <c r="G12" s="18" t="s">
        <v>32</v>
      </c>
      <c r="H12" s="18">
        <v>36</v>
      </c>
      <c r="I12" s="18" t="s">
        <v>33</v>
      </c>
      <c r="J12" s="18">
        <v>1.1000000000000001</v>
      </c>
      <c r="K12" s="18"/>
      <c r="L12" s="18"/>
      <c r="M12" s="18"/>
      <c r="N12" s="18"/>
      <c r="O12" s="18"/>
      <c r="P12" s="19">
        <f t="shared" ref="P12:P14" si="6">$O$11*J12</f>
        <v>0.9565217391304347</v>
      </c>
      <c r="Q12" s="20">
        <f t="shared" ref="Q12:Q14" si="7">R11+0.01</f>
        <v>5.7204347826086943</v>
      </c>
      <c r="R12" s="19">
        <f t="shared" ref="R12:R14" si="8">P12+Q12</f>
        <v>6.6769565217391289</v>
      </c>
      <c r="S12" s="19">
        <f t="shared" ref="S12:S14" si="9">AVERAGE(Q12:R12)</f>
        <v>6.1986956521739121</v>
      </c>
      <c r="T12" s="18"/>
      <c r="U12" s="18"/>
      <c r="V12" s="18"/>
      <c r="W12" s="18"/>
      <c r="X12" s="18"/>
      <c r="Y12" s="18"/>
      <c r="Z12" s="18"/>
      <c r="AA12" s="18"/>
      <c r="AB12" s="18"/>
      <c r="AC12" s="11"/>
      <c r="AD12" s="11"/>
      <c r="AE12" s="12"/>
    </row>
    <row r="13" spans="1:31" x14ac:dyDescent="0.3">
      <c r="A13" s="7"/>
      <c r="B13" s="8"/>
      <c r="C13" s="18" t="s">
        <v>54</v>
      </c>
      <c r="D13" s="18" t="s">
        <v>29</v>
      </c>
      <c r="E13" s="18" t="s">
        <v>30</v>
      </c>
      <c r="F13" s="18" t="s">
        <v>55</v>
      </c>
      <c r="G13" s="18" t="s">
        <v>32</v>
      </c>
      <c r="H13" s="18">
        <v>36</v>
      </c>
      <c r="I13" s="18" t="s">
        <v>33</v>
      </c>
      <c r="J13" s="18">
        <v>1.1000000000000001</v>
      </c>
      <c r="K13" s="18"/>
      <c r="L13" s="18"/>
      <c r="M13" s="18"/>
      <c r="N13" s="18"/>
      <c r="O13" s="18"/>
      <c r="P13" s="19">
        <f t="shared" si="6"/>
        <v>0.9565217391304347</v>
      </c>
      <c r="Q13" s="20">
        <f t="shared" si="7"/>
        <v>6.6869565217391287</v>
      </c>
      <c r="R13" s="19">
        <f t="shared" si="8"/>
        <v>7.6434782608695633</v>
      </c>
      <c r="S13" s="19">
        <f t="shared" si="9"/>
        <v>7.1652173913043455</v>
      </c>
      <c r="T13" s="18"/>
      <c r="U13" s="18"/>
      <c r="V13" s="18"/>
      <c r="W13" s="18"/>
      <c r="X13" s="18"/>
      <c r="Y13" s="18"/>
      <c r="Z13" s="18"/>
      <c r="AA13" s="18"/>
      <c r="AB13" s="18"/>
      <c r="AC13" s="11"/>
      <c r="AD13" s="11"/>
      <c r="AE13" s="12"/>
    </row>
    <row r="14" spans="1:31" x14ac:dyDescent="0.3">
      <c r="A14" s="7"/>
      <c r="B14" s="8"/>
      <c r="C14" s="18" t="s">
        <v>56</v>
      </c>
      <c r="D14" s="18" t="s">
        <v>29</v>
      </c>
      <c r="E14" s="18" t="s">
        <v>30</v>
      </c>
      <c r="F14" s="21" t="s">
        <v>57</v>
      </c>
      <c r="G14" s="21" t="s">
        <v>32</v>
      </c>
      <c r="H14" s="21">
        <v>36</v>
      </c>
      <c r="I14" s="21" t="s">
        <v>33</v>
      </c>
      <c r="J14" s="21">
        <v>1.1000000000000001</v>
      </c>
      <c r="K14" s="21"/>
      <c r="L14" s="18"/>
      <c r="M14" s="18"/>
      <c r="N14" s="18"/>
      <c r="O14" s="18"/>
      <c r="P14" s="19">
        <f t="shared" si="6"/>
        <v>0.9565217391304347</v>
      </c>
      <c r="Q14" s="20">
        <f t="shared" si="7"/>
        <v>7.6534782608695631</v>
      </c>
      <c r="R14" s="19">
        <f t="shared" si="8"/>
        <v>8.6099999999999977</v>
      </c>
      <c r="S14" s="19">
        <f t="shared" si="9"/>
        <v>8.1317391304347808</v>
      </c>
      <c r="T14" s="18"/>
      <c r="U14" s="18"/>
      <c r="V14" s="18"/>
      <c r="W14" s="18"/>
      <c r="X14" s="18"/>
      <c r="Y14" s="18"/>
      <c r="Z14" s="18"/>
      <c r="AA14" s="18"/>
      <c r="AB14" s="18"/>
      <c r="AC14" s="11"/>
      <c r="AD14" s="11"/>
      <c r="AE14" s="12"/>
    </row>
    <row r="15" spans="1:31" x14ac:dyDescent="0.3">
      <c r="A15" s="7"/>
      <c r="B15" s="8" t="s">
        <v>58</v>
      </c>
      <c r="C15" s="22" t="s">
        <v>59</v>
      </c>
      <c r="D15" s="22" t="s">
        <v>29</v>
      </c>
      <c r="E15" s="22" t="s">
        <v>30</v>
      </c>
      <c r="F15" s="22" t="s">
        <v>60</v>
      </c>
      <c r="G15" s="22" t="s">
        <v>32</v>
      </c>
      <c r="H15" s="22">
        <v>36</v>
      </c>
      <c r="I15" s="22" t="s">
        <v>33</v>
      </c>
      <c r="J15" s="22">
        <v>1.1000000000000001</v>
      </c>
      <c r="K15" s="22">
        <f>SUM(J15:J16)</f>
        <v>2.2000000000000002</v>
      </c>
      <c r="L15" s="22"/>
      <c r="M15" s="22"/>
      <c r="N15" s="22">
        <f>10.5-8.5</f>
        <v>2</v>
      </c>
      <c r="O15" s="23">
        <f>N15/K15</f>
        <v>0.90909090909090906</v>
      </c>
      <c r="P15" s="23">
        <f>$O$15*J15</f>
        <v>1</v>
      </c>
      <c r="Q15" s="24">
        <f>R14+0.01</f>
        <v>8.6199999999999974</v>
      </c>
      <c r="R15" s="23">
        <f>P15+Q15</f>
        <v>9.6199999999999974</v>
      </c>
      <c r="S15" s="23">
        <f>AVERAGE(Q15:R15)</f>
        <v>9.1199999999999974</v>
      </c>
      <c r="T15" s="22"/>
      <c r="U15" s="22"/>
      <c r="V15" s="22"/>
      <c r="W15" s="22"/>
      <c r="X15" s="22"/>
      <c r="Y15" s="22"/>
      <c r="Z15" s="22"/>
      <c r="AA15" s="22"/>
      <c r="AB15" s="22"/>
      <c r="AC15" s="11"/>
      <c r="AD15" s="11"/>
      <c r="AE15" s="12"/>
    </row>
    <row r="16" spans="1:31" x14ac:dyDescent="0.3">
      <c r="A16" s="7"/>
      <c r="B16" s="8"/>
      <c r="C16" s="22" t="s">
        <v>61</v>
      </c>
      <c r="D16" s="22" t="s">
        <v>29</v>
      </c>
      <c r="E16" s="22" t="s">
        <v>30</v>
      </c>
      <c r="F16" s="22" t="s">
        <v>62</v>
      </c>
      <c r="G16" s="22" t="s">
        <v>32</v>
      </c>
      <c r="H16" s="22">
        <v>36</v>
      </c>
      <c r="I16" s="22" t="s">
        <v>33</v>
      </c>
      <c r="J16" s="22">
        <v>1.1000000000000001</v>
      </c>
      <c r="K16" s="22"/>
      <c r="L16" s="22"/>
      <c r="M16" s="22"/>
      <c r="N16" s="22"/>
      <c r="O16" s="22"/>
      <c r="P16" s="23">
        <f>$O$15*J16</f>
        <v>1</v>
      </c>
      <c r="Q16" s="24">
        <f>R15+0.01</f>
        <v>9.6299999999999972</v>
      </c>
      <c r="R16" s="23">
        <f>P16+Q16</f>
        <v>10.629999999999997</v>
      </c>
      <c r="S16" s="23">
        <f>AVERAGE(Q16:R16)</f>
        <v>10.129999999999997</v>
      </c>
      <c r="T16" s="22">
        <v>8</v>
      </c>
      <c r="U16" s="22">
        <v>-20.6</v>
      </c>
      <c r="V16" s="22"/>
      <c r="W16" s="22">
        <v>4.7</v>
      </c>
      <c r="X16" s="22">
        <v>14.3</v>
      </c>
      <c r="Y16" s="22"/>
      <c r="Z16" s="22">
        <v>3.5</v>
      </c>
      <c r="AA16" s="22"/>
      <c r="AB16" s="22"/>
      <c r="AC16" s="11"/>
      <c r="AD16" s="11"/>
      <c r="AE16" s="12"/>
    </row>
    <row r="17" spans="1:31" x14ac:dyDescent="0.3">
      <c r="A17" s="25"/>
      <c r="B17" s="26"/>
      <c r="C17" s="27" t="s">
        <v>63</v>
      </c>
      <c r="D17" s="27" t="s">
        <v>29</v>
      </c>
      <c r="E17" s="27" t="s">
        <v>30</v>
      </c>
      <c r="F17" s="27" t="s">
        <v>64</v>
      </c>
      <c r="G17" s="27" t="s">
        <v>32</v>
      </c>
      <c r="H17" s="27">
        <v>36</v>
      </c>
      <c r="I17" s="27" t="s">
        <v>65</v>
      </c>
      <c r="J17" s="27"/>
      <c r="K17" s="27"/>
      <c r="L17" s="27"/>
      <c r="M17" s="27"/>
      <c r="N17" s="27"/>
      <c r="O17" s="27"/>
      <c r="P17" s="27"/>
      <c r="Q17" s="27"/>
      <c r="R17" s="27"/>
      <c r="S17" s="28" t="s">
        <v>66</v>
      </c>
      <c r="T17" s="27">
        <v>7.7</v>
      </c>
      <c r="U17" s="27">
        <v>-19.5</v>
      </c>
      <c r="V17" s="27">
        <v>11.9</v>
      </c>
      <c r="W17" s="27">
        <v>14.1</v>
      </c>
      <c r="X17" s="27">
        <v>39</v>
      </c>
      <c r="Y17" s="27">
        <v>0.16</v>
      </c>
      <c r="Z17" s="27">
        <v>3.2</v>
      </c>
      <c r="AA17" s="27">
        <v>665</v>
      </c>
      <c r="AB17" s="27">
        <v>205</v>
      </c>
      <c r="AC17" s="12"/>
      <c r="AD17" s="12"/>
      <c r="AE17" s="12"/>
    </row>
    <row r="18" spans="1:31" x14ac:dyDescent="0.3">
      <c r="A18" s="25"/>
      <c r="B18" s="26"/>
      <c r="C18" s="27" t="s">
        <v>67</v>
      </c>
      <c r="D18" s="27" t="s">
        <v>29</v>
      </c>
      <c r="E18" s="27" t="s">
        <v>30</v>
      </c>
      <c r="F18" s="27" t="s">
        <v>68</v>
      </c>
      <c r="G18" s="27" t="s">
        <v>32</v>
      </c>
      <c r="H18" s="27">
        <v>36</v>
      </c>
      <c r="I18" s="27" t="s">
        <v>65</v>
      </c>
      <c r="J18" s="27"/>
      <c r="K18" s="27"/>
      <c r="L18" s="27"/>
      <c r="M18" s="27"/>
      <c r="N18" s="27"/>
      <c r="O18" s="27"/>
      <c r="P18" s="27"/>
      <c r="Q18" s="27"/>
      <c r="R18" s="27"/>
      <c r="S18" s="28" t="s">
        <v>69</v>
      </c>
      <c r="T18" s="27">
        <v>7.9</v>
      </c>
      <c r="U18" s="27">
        <v>-20.3</v>
      </c>
      <c r="V18" s="27">
        <v>10</v>
      </c>
      <c r="W18" s="27">
        <v>9.3000000000000007</v>
      </c>
      <c r="X18" s="27">
        <v>26.4</v>
      </c>
      <c r="Y18" s="27">
        <v>0.16</v>
      </c>
      <c r="Z18" s="27">
        <v>3.3</v>
      </c>
      <c r="AA18" s="27">
        <v>449</v>
      </c>
      <c r="AB18" s="27">
        <v>135</v>
      </c>
      <c r="AC18" s="12"/>
      <c r="AD18" s="12"/>
      <c r="AE18" s="12"/>
    </row>
    <row r="19" spans="1:31" x14ac:dyDescent="0.3">
      <c r="A19" s="25"/>
      <c r="AC19" s="12"/>
      <c r="AD19" s="12"/>
      <c r="AE19" s="12"/>
    </row>
    <row r="20" spans="1:31" ht="72" x14ac:dyDescent="0.3">
      <c r="B20" s="26"/>
      <c r="C20" s="1" t="s">
        <v>0</v>
      </c>
      <c r="D20" s="1" t="s">
        <v>1</v>
      </c>
      <c r="E20" s="1" t="s">
        <v>2</v>
      </c>
      <c r="F20" s="1" t="s">
        <v>3</v>
      </c>
      <c r="G20" s="1" t="s">
        <v>4</v>
      </c>
      <c r="H20" s="1" t="s">
        <v>5</v>
      </c>
      <c r="I20" s="1" t="s">
        <v>6</v>
      </c>
      <c r="J20" s="1" t="s">
        <v>7</v>
      </c>
      <c r="K20" s="1" t="s">
        <v>8</v>
      </c>
      <c r="L20" s="1" t="s">
        <v>9</v>
      </c>
      <c r="M20" s="1" t="s">
        <v>10</v>
      </c>
      <c r="N20" s="1" t="s">
        <v>70</v>
      </c>
      <c r="O20" s="1" t="s">
        <v>12</v>
      </c>
      <c r="P20" s="1" t="s">
        <v>13</v>
      </c>
      <c r="Q20" s="1" t="s">
        <v>14</v>
      </c>
      <c r="R20" s="1" t="s">
        <v>15</v>
      </c>
      <c r="S20" s="1" t="s">
        <v>16</v>
      </c>
      <c r="T20" s="2" t="s">
        <v>17</v>
      </c>
      <c r="U20" s="2" t="s">
        <v>18</v>
      </c>
      <c r="V20" s="2" t="s">
        <v>19</v>
      </c>
      <c r="W20" s="2" t="s">
        <v>20</v>
      </c>
      <c r="X20" s="2" t="s">
        <v>21</v>
      </c>
      <c r="Y20" s="3" t="s">
        <v>22</v>
      </c>
      <c r="Z20" s="1" t="s">
        <v>23</v>
      </c>
      <c r="AA20" s="1" t="s">
        <v>24</v>
      </c>
      <c r="AB20" s="1" t="s">
        <v>25</v>
      </c>
    </row>
    <row r="21" spans="1:31" x14ac:dyDescent="0.3">
      <c r="B21" s="26"/>
      <c r="C21" s="4"/>
      <c r="D21" s="4"/>
      <c r="E21" s="4"/>
      <c r="F21" s="4"/>
      <c r="G21" s="4"/>
      <c r="H21" s="4"/>
      <c r="I21" s="4"/>
      <c r="J21" s="4"/>
      <c r="K21" s="29"/>
      <c r="L21" s="5">
        <f>SUM(J23:J32)</f>
        <v>11.81818181854544</v>
      </c>
      <c r="M21" s="5">
        <f>16.5-2.5</f>
        <v>14</v>
      </c>
      <c r="N21" s="29"/>
      <c r="O21" s="29"/>
      <c r="P21" s="29"/>
      <c r="Q21" s="29"/>
      <c r="R21" s="29"/>
      <c r="S21" s="29"/>
      <c r="T21" s="5"/>
      <c r="U21" s="5"/>
      <c r="V21" s="5"/>
      <c r="W21" s="5"/>
      <c r="X21" s="5"/>
      <c r="Y21" s="6"/>
      <c r="Z21" s="4"/>
      <c r="AA21" s="4"/>
      <c r="AB21" s="4"/>
    </row>
    <row r="22" spans="1:31" ht="16.8" customHeight="1" x14ac:dyDescent="0.3">
      <c r="A22" s="7" t="s">
        <v>71</v>
      </c>
      <c r="B22" s="26"/>
      <c r="C22" s="9" t="s">
        <v>72</v>
      </c>
      <c r="D22" s="9" t="s">
        <v>29</v>
      </c>
      <c r="E22" s="9" t="s">
        <v>30</v>
      </c>
      <c r="F22" s="9" t="s">
        <v>73</v>
      </c>
      <c r="G22" s="9" t="s">
        <v>32</v>
      </c>
      <c r="H22" s="9">
        <v>37</v>
      </c>
      <c r="I22" s="9" t="s">
        <v>74</v>
      </c>
      <c r="J22" s="30">
        <v>1.1818181818181801</v>
      </c>
      <c r="K22" s="9"/>
      <c r="L22" s="9"/>
      <c r="M22" s="9"/>
      <c r="N22" s="9"/>
      <c r="O22" s="9"/>
      <c r="P22" s="10">
        <f>$O$23*J22</f>
        <v>2.5</v>
      </c>
      <c r="Q22" s="30">
        <f>R23+0.01</f>
        <v>5.01</v>
      </c>
      <c r="R22" s="10">
        <f t="shared" ref="R22:R28" si="10">P22+Q22</f>
        <v>7.51</v>
      </c>
      <c r="S22" s="10">
        <f t="shared" ref="S22:S28" si="11">AVERAGE(Q22:R22)</f>
        <v>6.26</v>
      </c>
      <c r="T22" s="10">
        <v>8.3000000000000007</v>
      </c>
      <c r="U22" s="10">
        <v>-19.7</v>
      </c>
      <c r="V22" s="10">
        <v>12.3</v>
      </c>
      <c r="W22" s="10">
        <v>11.1</v>
      </c>
      <c r="X22" s="10">
        <v>31</v>
      </c>
      <c r="Y22" s="31">
        <v>0.14000000000000001</v>
      </c>
      <c r="Z22" s="9">
        <v>3.3</v>
      </c>
      <c r="AA22" s="9">
        <v>577</v>
      </c>
      <c r="AB22" s="9">
        <v>177</v>
      </c>
      <c r="AC22" s="11"/>
      <c r="AD22" s="11"/>
      <c r="AE22" s="12"/>
    </row>
    <row r="23" spans="1:31" ht="14.4" customHeight="1" x14ac:dyDescent="0.3">
      <c r="A23" s="7"/>
      <c r="B23" s="26" t="s">
        <v>27</v>
      </c>
      <c r="C23" s="9" t="s">
        <v>75</v>
      </c>
      <c r="D23" s="9" t="s">
        <v>29</v>
      </c>
      <c r="E23" s="9" t="s">
        <v>30</v>
      </c>
      <c r="F23" s="9" t="s">
        <v>76</v>
      </c>
      <c r="G23" s="9" t="s">
        <v>32</v>
      </c>
      <c r="H23" s="9">
        <v>37</v>
      </c>
      <c r="I23" s="9" t="s">
        <v>74</v>
      </c>
      <c r="J23" s="30">
        <v>1.1818181818181801</v>
      </c>
      <c r="K23" s="10">
        <f>SUM(J22:J23)</f>
        <v>2.3636363636363602</v>
      </c>
      <c r="L23" s="9"/>
      <c r="M23" s="9"/>
      <c r="N23" s="9">
        <f>7.5-2.5</f>
        <v>5</v>
      </c>
      <c r="O23" s="10">
        <f>N23/K23</f>
        <v>2.1153846153846185</v>
      </c>
      <c r="P23" s="10">
        <f>$O$23*J23</f>
        <v>2.5</v>
      </c>
      <c r="Q23" s="9">
        <v>2.5</v>
      </c>
      <c r="R23" s="10">
        <f t="shared" si="10"/>
        <v>5</v>
      </c>
      <c r="S23" s="10">
        <f t="shared" si="11"/>
        <v>3.75</v>
      </c>
      <c r="T23" s="10">
        <v>8.5</v>
      </c>
      <c r="U23" s="10">
        <v>-19</v>
      </c>
      <c r="V23" s="10">
        <v>12.7</v>
      </c>
      <c r="W23" s="10">
        <v>11.4</v>
      </c>
      <c r="X23" s="10">
        <v>32.200000000000003</v>
      </c>
      <c r="Y23" s="31">
        <v>0.15</v>
      </c>
      <c r="Z23" s="9">
        <v>3.3</v>
      </c>
      <c r="AA23" s="9">
        <v>574</v>
      </c>
      <c r="AB23" s="9">
        <v>174</v>
      </c>
      <c r="AC23" s="11"/>
      <c r="AD23" s="11"/>
      <c r="AE23" s="12"/>
    </row>
    <row r="24" spans="1:31" x14ac:dyDescent="0.3">
      <c r="A24" s="7"/>
      <c r="B24" s="26"/>
      <c r="C24" s="15" t="s">
        <v>77</v>
      </c>
      <c r="D24" s="15" t="s">
        <v>29</v>
      </c>
      <c r="E24" s="15" t="s">
        <v>30</v>
      </c>
      <c r="F24" s="15" t="s">
        <v>78</v>
      </c>
      <c r="G24" s="15" t="s">
        <v>32</v>
      </c>
      <c r="H24" s="15">
        <v>37</v>
      </c>
      <c r="I24" s="15" t="s">
        <v>74</v>
      </c>
      <c r="J24" s="32">
        <v>1.1818181818181801</v>
      </c>
      <c r="K24" s="15"/>
      <c r="L24" s="15"/>
      <c r="M24" s="15"/>
      <c r="N24" s="15"/>
      <c r="O24" s="15"/>
      <c r="P24" s="16">
        <f>$O$25*J24</f>
        <v>1</v>
      </c>
      <c r="Q24" s="32">
        <f>R25+0.01</f>
        <v>8.5299999999999994</v>
      </c>
      <c r="R24" s="16">
        <f t="shared" si="10"/>
        <v>9.5299999999999994</v>
      </c>
      <c r="S24" s="16">
        <f t="shared" si="11"/>
        <v>9.0299999999999994</v>
      </c>
      <c r="T24" s="16">
        <v>7.9</v>
      </c>
      <c r="U24" s="16">
        <v>-19</v>
      </c>
      <c r="V24" s="16">
        <v>13.3</v>
      </c>
      <c r="W24" s="16">
        <v>11.6</v>
      </c>
      <c r="X24" s="16">
        <v>33.4</v>
      </c>
      <c r="Y24" s="33">
        <v>0.14000000000000001</v>
      </c>
      <c r="Z24" s="15">
        <v>3.4</v>
      </c>
      <c r="AA24" s="15">
        <v>655</v>
      </c>
      <c r="AB24" s="15">
        <v>194</v>
      </c>
      <c r="AC24" s="11"/>
      <c r="AD24" s="11"/>
      <c r="AE24" s="12"/>
    </row>
    <row r="25" spans="1:31" x14ac:dyDescent="0.3">
      <c r="A25" s="7"/>
      <c r="B25" s="26" t="s">
        <v>44</v>
      </c>
      <c r="C25" s="15" t="s">
        <v>79</v>
      </c>
      <c r="D25" s="15" t="s">
        <v>29</v>
      </c>
      <c r="E25" s="15" t="s">
        <v>30</v>
      </c>
      <c r="F25" s="15" t="s">
        <v>80</v>
      </c>
      <c r="G25" s="15" t="s">
        <v>32</v>
      </c>
      <c r="H25" s="15">
        <v>37</v>
      </c>
      <c r="I25" s="15" t="s">
        <v>74</v>
      </c>
      <c r="J25" s="32">
        <v>1.1818181818181801</v>
      </c>
      <c r="K25" s="16">
        <f>SUM(J24:J25)</f>
        <v>2.3636363636363602</v>
      </c>
      <c r="L25" s="15"/>
      <c r="M25" s="15"/>
      <c r="N25" s="15">
        <f>9.5-7.5</f>
        <v>2</v>
      </c>
      <c r="O25" s="16">
        <f>N25/K25</f>
        <v>0.84615384615384737</v>
      </c>
      <c r="P25" s="16">
        <f>$O$25*J25</f>
        <v>1</v>
      </c>
      <c r="Q25" s="32">
        <f>R22+0.01</f>
        <v>7.52</v>
      </c>
      <c r="R25" s="16">
        <f t="shared" si="10"/>
        <v>8.52</v>
      </c>
      <c r="S25" s="16">
        <f t="shared" si="11"/>
        <v>8.02</v>
      </c>
      <c r="T25" s="16">
        <v>7.9</v>
      </c>
      <c r="U25" s="16">
        <v>-19.5</v>
      </c>
      <c r="V25" s="16">
        <v>12.5</v>
      </c>
      <c r="W25" s="16">
        <v>11.7</v>
      </c>
      <c r="X25" s="16">
        <v>33.4</v>
      </c>
      <c r="Y25" s="33">
        <v>0.19</v>
      </c>
      <c r="Z25" s="15">
        <v>3.3</v>
      </c>
      <c r="AA25" s="15">
        <v>461</v>
      </c>
      <c r="AB25" s="15">
        <v>138</v>
      </c>
      <c r="AC25" s="11"/>
      <c r="AD25" s="11"/>
      <c r="AE25" s="12"/>
    </row>
    <row r="26" spans="1:31" x14ac:dyDescent="0.3">
      <c r="A26" s="7"/>
      <c r="B26" s="26"/>
      <c r="C26" s="34"/>
      <c r="D26" s="34"/>
      <c r="E26" s="34"/>
      <c r="F26" s="18" t="s">
        <v>81</v>
      </c>
      <c r="G26" s="34" t="s">
        <v>32</v>
      </c>
      <c r="H26" s="34">
        <v>37</v>
      </c>
      <c r="I26" s="34" t="s">
        <v>74</v>
      </c>
      <c r="J26" s="35">
        <v>1.1818181818181801</v>
      </c>
      <c r="K26" s="34"/>
      <c r="L26" s="18"/>
      <c r="M26" s="18"/>
      <c r="N26" s="18"/>
      <c r="O26" s="18"/>
      <c r="P26" s="19">
        <f>$O$29*J26</f>
        <v>0.999999999938461</v>
      </c>
      <c r="Q26" s="35">
        <f>R27+0.01</f>
        <v>13.570000000061539</v>
      </c>
      <c r="R26" s="19">
        <f t="shared" si="10"/>
        <v>14.57</v>
      </c>
      <c r="S26" s="19">
        <f t="shared" si="11"/>
        <v>14.07000000003077</v>
      </c>
      <c r="T26" s="19"/>
      <c r="U26" s="19"/>
      <c r="V26" s="19"/>
      <c r="W26" s="19"/>
      <c r="X26" s="19"/>
      <c r="Y26" s="36"/>
      <c r="Z26" s="18"/>
      <c r="AA26" s="18"/>
      <c r="AB26" s="18"/>
      <c r="AC26" s="11"/>
      <c r="AD26" s="11"/>
      <c r="AE26" s="12"/>
    </row>
    <row r="27" spans="1:31" x14ac:dyDescent="0.3">
      <c r="A27" s="7"/>
      <c r="B27" s="26"/>
      <c r="C27" s="18" t="s">
        <v>82</v>
      </c>
      <c r="D27" s="18" t="s">
        <v>29</v>
      </c>
      <c r="E27" s="18" t="s">
        <v>30</v>
      </c>
      <c r="F27" s="18" t="s">
        <v>83</v>
      </c>
      <c r="G27" s="18" t="s">
        <v>32</v>
      </c>
      <c r="H27" s="18">
        <v>37</v>
      </c>
      <c r="I27" s="18" t="s">
        <v>74</v>
      </c>
      <c r="J27" s="35">
        <v>2.363636364</v>
      </c>
      <c r="K27" s="18"/>
      <c r="L27" s="18"/>
      <c r="M27" s="18"/>
      <c r="N27" s="18"/>
      <c r="O27" s="18"/>
      <c r="P27" s="19">
        <f>$O$29*J27</f>
        <v>2.0000000001846172</v>
      </c>
      <c r="Q27" s="35">
        <f>R28+0.01</f>
        <v>11.559999999876922</v>
      </c>
      <c r="R27" s="19">
        <f t="shared" si="10"/>
        <v>13.560000000061539</v>
      </c>
      <c r="S27" s="19">
        <f t="shared" si="11"/>
        <v>12.55999999996923</v>
      </c>
      <c r="T27" s="19">
        <v>8</v>
      </c>
      <c r="U27" s="19">
        <v>-20.3</v>
      </c>
      <c r="V27" s="19"/>
      <c r="W27" s="19">
        <v>13.8</v>
      </c>
      <c r="X27" s="19">
        <v>39.799999999999997</v>
      </c>
      <c r="Y27" s="36"/>
      <c r="Z27" s="18">
        <v>3.4</v>
      </c>
      <c r="AA27" s="18"/>
      <c r="AB27" s="18"/>
      <c r="AC27" s="11"/>
      <c r="AD27" s="11"/>
      <c r="AE27" s="12"/>
    </row>
    <row r="28" spans="1:31" x14ac:dyDescent="0.3">
      <c r="A28" s="7"/>
      <c r="B28" s="26"/>
      <c r="C28" s="18"/>
      <c r="D28" s="18"/>
      <c r="E28" s="18"/>
      <c r="F28" s="18" t="s">
        <v>84</v>
      </c>
      <c r="G28" s="18" t="s">
        <v>32</v>
      </c>
      <c r="H28" s="18">
        <v>37</v>
      </c>
      <c r="I28" s="18" t="s">
        <v>74</v>
      </c>
      <c r="J28" s="35">
        <v>1.1818181818181801</v>
      </c>
      <c r="K28" s="18"/>
      <c r="L28" s="18"/>
      <c r="M28" s="18"/>
      <c r="N28" s="18"/>
      <c r="O28" s="18"/>
      <c r="P28" s="19">
        <f>$O$29*J28</f>
        <v>0.999999999938461</v>
      </c>
      <c r="Q28" s="35">
        <f>R29+0.01</f>
        <v>10.549999999938461</v>
      </c>
      <c r="R28" s="19">
        <f t="shared" si="10"/>
        <v>11.549999999876922</v>
      </c>
      <c r="S28" s="19">
        <f t="shared" si="11"/>
        <v>11.049999999907691</v>
      </c>
      <c r="T28" s="18"/>
      <c r="U28" s="18"/>
      <c r="V28" s="18"/>
      <c r="W28" s="18"/>
      <c r="X28" s="18"/>
      <c r="Y28" s="18"/>
      <c r="Z28" s="18"/>
      <c r="AA28" s="18"/>
      <c r="AB28" s="18"/>
      <c r="AC28" s="11"/>
      <c r="AD28" s="11"/>
      <c r="AE28" s="12"/>
    </row>
    <row r="29" spans="1:31" x14ac:dyDescent="0.3">
      <c r="A29" s="7"/>
      <c r="B29" s="26" t="s">
        <v>85</v>
      </c>
      <c r="C29" s="18"/>
      <c r="D29" s="18"/>
      <c r="E29" s="18"/>
      <c r="F29" s="18" t="s">
        <v>86</v>
      </c>
      <c r="G29" s="18" t="s">
        <v>32</v>
      </c>
      <c r="H29" s="18">
        <v>37</v>
      </c>
      <c r="I29" s="18" t="s">
        <v>74</v>
      </c>
      <c r="J29" s="35">
        <v>1.1818181818181801</v>
      </c>
      <c r="K29" s="19">
        <f>SUM(J26:J29)</f>
        <v>5.9090909094545401</v>
      </c>
      <c r="L29" s="18"/>
      <c r="M29" s="18"/>
      <c r="N29" s="18">
        <f>14.5-9.5</f>
        <v>5</v>
      </c>
      <c r="O29" s="19">
        <f>N29/K29</f>
        <v>0.84615384610177591</v>
      </c>
      <c r="P29" s="19">
        <f>$O$29*J29</f>
        <v>0.999999999938461</v>
      </c>
      <c r="Q29" s="35">
        <f>R24+0.01</f>
        <v>9.5399999999999991</v>
      </c>
      <c r="R29" s="19">
        <f>P29+Q29</f>
        <v>10.539999999938461</v>
      </c>
      <c r="S29" s="19">
        <f>AVERAGE(Q29:R29)</f>
        <v>10.039999999969229</v>
      </c>
      <c r="T29" s="18"/>
      <c r="U29" s="18"/>
      <c r="V29" s="18"/>
      <c r="W29" s="18"/>
      <c r="X29" s="18"/>
      <c r="Y29" s="18"/>
      <c r="Z29" s="18"/>
      <c r="AA29" s="18"/>
      <c r="AB29" s="18"/>
      <c r="AC29" s="11"/>
      <c r="AD29" s="11"/>
      <c r="AE29" s="12"/>
    </row>
    <row r="30" spans="1:31" x14ac:dyDescent="0.3">
      <c r="A30" s="7"/>
      <c r="B30" s="26"/>
      <c r="C30" s="37"/>
      <c r="D30" s="37"/>
      <c r="E30" s="37"/>
      <c r="F30" s="22" t="s">
        <v>87</v>
      </c>
      <c r="G30" s="37" t="s">
        <v>32</v>
      </c>
      <c r="H30" s="37">
        <v>37</v>
      </c>
      <c r="I30" s="37" t="s">
        <v>74</v>
      </c>
      <c r="J30" s="38">
        <v>1.1818181818181801</v>
      </c>
      <c r="K30" s="37"/>
      <c r="L30" s="22"/>
      <c r="M30" s="22"/>
      <c r="N30" s="22"/>
      <c r="O30" s="22"/>
      <c r="P30" s="23">
        <f>$O$31*J30</f>
        <v>1</v>
      </c>
      <c r="Q30" s="38">
        <f>R31+0.01</f>
        <v>15.59</v>
      </c>
      <c r="R30" s="23">
        <f>P30+Q30</f>
        <v>16.59</v>
      </c>
      <c r="S30" s="23">
        <f>AVERAGE(Q30:R30)</f>
        <v>16.09</v>
      </c>
      <c r="T30" s="23"/>
      <c r="U30" s="23"/>
      <c r="V30" s="23"/>
      <c r="W30" s="23"/>
      <c r="X30" s="23"/>
      <c r="Y30" s="39"/>
      <c r="Z30" s="22"/>
      <c r="AA30" s="22"/>
      <c r="AB30" s="22"/>
      <c r="AC30" s="11"/>
      <c r="AD30" s="11"/>
      <c r="AE30" s="12"/>
    </row>
    <row r="31" spans="1:31" x14ac:dyDescent="0.3">
      <c r="A31" s="7"/>
      <c r="B31" s="26" t="s">
        <v>88</v>
      </c>
      <c r="C31" s="37"/>
      <c r="D31" s="37"/>
      <c r="E31" s="37"/>
      <c r="F31" s="22" t="s">
        <v>89</v>
      </c>
      <c r="G31" s="37" t="s">
        <v>32</v>
      </c>
      <c r="H31" s="37">
        <v>37</v>
      </c>
      <c r="I31" s="37" t="s">
        <v>74</v>
      </c>
      <c r="J31" s="38">
        <v>1.1818181818181801</v>
      </c>
      <c r="K31" s="38">
        <f>SUM(J30:J31)</f>
        <v>2.3636363636363602</v>
      </c>
      <c r="L31" s="22"/>
      <c r="M31" s="22"/>
      <c r="N31" s="22">
        <f>16.5-14.5</f>
        <v>2</v>
      </c>
      <c r="O31" s="23">
        <f>N31/K31</f>
        <v>0.84615384615384737</v>
      </c>
      <c r="P31" s="23">
        <f>$O$31*J31</f>
        <v>1</v>
      </c>
      <c r="Q31" s="38">
        <f>R26+0.01</f>
        <v>14.58</v>
      </c>
      <c r="R31" s="23">
        <f>P31+Q31</f>
        <v>15.58</v>
      </c>
      <c r="S31" s="23">
        <f>AVERAGE(Q31:R31)</f>
        <v>15.08</v>
      </c>
      <c r="T31" s="23"/>
      <c r="U31" s="23"/>
      <c r="V31" s="23"/>
      <c r="W31" s="23"/>
      <c r="X31" s="23"/>
      <c r="Y31" s="39"/>
      <c r="Z31" s="22"/>
      <c r="AA31" s="22"/>
      <c r="AB31" s="22"/>
      <c r="AC31" s="11"/>
      <c r="AD31" s="11"/>
      <c r="AE31" s="12"/>
    </row>
    <row r="33" spans="1:31" ht="72" x14ac:dyDescent="0.3">
      <c r="C33" s="1" t="s">
        <v>0</v>
      </c>
      <c r="D33" s="1" t="s">
        <v>1</v>
      </c>
      <c r="E33" s="1" t="s">
        <v>2</v>
      </c>
      <c r="F33" s="1" t="s">
        <v>3</v>
      </c>
      <c r="G33" s="1" t="s">
        <v>4</v>
      </c>
      <c r="H33" s="1" t="s">
        <v>5</v>
      </c>
      <c r="I33" s="1" t="s">
        <v>6</v>
      </c>
      <c r="J33" s="1" t="s">
        <v>7</v>
      </c>
      <c r="K33" s="1" t="s">
        <v>8</v>
      </c>
      <c r="L33" s="1" t="s">
        <v>9</v>
      </c>
      <c r="M33" s="1" t="s">
        <v>10</v>
      </c>
      <c r="N33" s="1" t="s">
        <v>70</v>
      </c>
      <c r="O33" s="1" t="s">
        <v>12</v>
      </c>
      <c r="P33" s="1" t="s">
        <v>13</v>
      </c>
      <c r="Q33" s="1" t="s">
        <v>14</v>
      </c>
      <c r="R33" s="1" t="s">
        <v>15</v>
      </c>
      <c r="S33" s="1" t="s">
        <v>16</v>
      </c>
      <c r="T33" s="2" t="s">
        <v>17</v>
      </c>
      <c r="U33" s="2" t="s">
        <v>18</v>
      </c>
      <c r="V33" s="2" t="s">
        <v>19</v>
      </c>
      <c r="W33" s="2" t="s">
        <v>20</v>
      </c>
      <c r="X33" s="2" t="s">
        <v>21</v>
      </c>
      <c r="Y33" s="3" t="s">
        <v>22</v>
      </c>
      <c r="Z33" s="1" t="s">
        <v>23</v>
      </c>
      <c r="AA33" s="1" t="s">
        <v>24</v>
      </c>
      <c r="AB33" s="1" t="s">
        <v>25</v>
      </c>
      <c r="AC33" s="11"/>
      <c r="AD33" s="11"/>
      <c r="AE33" s="12"/>
    </row>
    <row r="34" spans="1:31" x14ac:dyDescent="0.3">
      <c r="C34" s="4"/>
      <c r="D34" s="4"/>
      <c r="E34" s="4"/>
      <c r="F34" s="4"/>
      <c r="G34" s="4"/>
      <c r="H34" s="4"/>
      <c r="I34" s="4"/>
      <c r="J34" s="4"/>
      <c r="K34" s="29"/>
      <c r="L34" s="5">
        <f>SUM(J35:J45)</f>
        <v>18.000000001714241</v>
      </c>
      <c r="M34" s="5">
        <f>23.5-8.5</f>
        <v>15</v>
      </c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6"/>
      <c r="Z34" s="4"/>
      <c r="AA34" s="4"/>
      <c r="AB34" s="4"/>
      <c r="AE34" s="12"/>
    </row>
    <row r="35" spans="1:31" ht="15" customHeight="1" x14ac:dyDescent="0.3">
      <c r="A35" s="7" t="s">
        <v>90</v>
      </c>
      <c r="B35" s="8" t="s">
        <v>91</v>
      </c>
      <c r="C35" s="9" t="s">
        <v>92</v>
      </c>
      <c r="D35" s="9" t="s">
        <v>29</v>
      </c>
      <c r="E35" s="9" t="s">
        <v>30</v>
      </c>
      <c r="F35" s="9" t="s">
        <v>93</v>
      </c>
      <c r="G35" s="9" t="s">
        <v>32</v>
      </c>
      <c r="H35" s="9">
        <v>38</v>
      </c>
      <c r="I35" s="9" t="s">
        <v>65</v>
      </c>
      <c r="J35" s="10">
        <v>1.28571428571428</v>
      </c>
      <c r="K35" s="10">
        <f>SUM(J35:J37)</f>
        <v>3.8571428571428399</v>
      </c>
      <c r="L35" s="9"/>
      <c r="M35" s="9"/>
      <c r="N35" s="9">
        <f>13.5-8.5</f>
        <v>5</v>
      </c>
      <c r="O35" s="10">
        <f>N35/K35</f>
        <v>1.2962962962963021</v>
      </c>
      <c r="P35" s="10">
        <f>$O$35*J35</f>
        <v>1.6666666666666667</v>
      </c>
      <c r="Q35" s="9">
        <v>8.5</v>
      </c>
      <c r="R35" s="10">
        <f>P35+Q35</f>
        <v>10.166666666666666</v>
      </c>
      <c r="S35" s="10">
        <f>AVERAGE(Q35:R35)</f>
        <v>9.3333333333333321</v>
      </c>
      <c r="T35" s="10">
        <v>8.1999999999999993</v>
      </c>
      <c r="U35" s="10">
        <v>-19.5</v>
      </c>
      <c r="V35" s="10">
        <v>11.8</v>
      </c>
      <c r="W35" s="10">
        <v>9.1</v>
      </c>
      <c r="X35" s="10">
        <v>25.1</v>
      </c>
      <c r="Y35" s="31">
        <v>0.12</v>
      </c>
      <c r="Z35" s="9">
        <v>3.2</v>
      </c>
      <c r="AA35" s="9">
        <v>572</v>
      </c>
      <c r="AB35" s="9">
        <v>178</v>
      </c>
      <c r="AC35" s="11"/>
      <c r="AD35" s="11"/>
      <c r="AE35" s="12"/>
    </row>
    <row r="36" spans="1:31" x14ac:dyDescent="0.3">
      <c r="A36" s="7"/>
      <c r="B36" s="8"/>
      <c r="C36" s="9" t="s">
        <v>94</v>
      </c>
      <c r="D36" s="9" t="s">
        <v>29</v>
      </c>
      <c r="E36" s="9" t="s">
        <v>30</v>
      </c>
      <c r="F36" s="9" t="s">
        <v>95</v>
      </c>
      <c r="G36" s="9" t="s">
        <v>32</v>
      </c>
      <c r="H36" s="9">
        <v>38</v>
      </c>
      <c r="I36" s="9" t="s">
        <v>65</v>
      </c>
      <c r="J36" s="10">
        <v>1.28571428571428</v>
      </c>
      <c r="K36" s="9"/>
      <c r="L36" s="9"/>
      <c r="M36" s="9"/>
      <c r="N36" s="9"/>
      <c r="O36" s="9"/>
      <c r="P36" s="10">
        <f t="shared" ref="P36:P37" si="12">$O$35*J36</f>
        <v>1.6666666666666667</v>
      </c>
      <c r="Q36" s="30">
        <f t="shared" ref="Q36:Q45" si="13">R35+0.01</f>
        <v>10.176666666666666</v>
      </c>
      <c r="R36" s="10">
        <f t="shared" ref="R36:R45" si="14">P36+Q36</f>
        <v>11.843333333333332</v>
      </c>
      <c r="S36" s="10">
        <f t="shared" ref="S36:S45" si="15">AVERAGE(Q36:R36)</f>
        <v>11.009999999999998</v>
      </c>
      <c r="T36" s="10">
        <v>8.4</v>
      </c>
      <c r="U36" s="10">
        <v>-19</v>
      </c>
      <c r="V36" s="10">
        <v>13.1</v>
      </c>
      <c r="W36" s="10">
        <v>14.2</v>
      </c>
      <c r="X36" s="10">
        <v>39.799999999999997</v>
      </c>
      <c r="Y36" s="31">
        <v>0.15</v>
      </c>
      <c r="Z36" s="9">
        <v>3.3</v>
      </c>
      <c r="AA36" s="9">
        <v>715</v>
      </c>
      <c r="AB36" s="9">
        <v>220</v>
      </c>
      <c r="AC36" s="11"/>
      <c r="AD36" s="11"/>
      <c r="AE36" s="12"/>
    </row>
    <row r="37" spans="1:31" x14ac:dyDescent="0.3">
      <c r="A37" s="7"/>
      <c r="B37" s="8"/>
      <c r="C37" s="9" t="s">
        <v>96</v>
      </c>
      <c r="D37" s="9" t="s">
        <v>29</v>
      </c>
      <c r="E37" s="9" t="s">
        <v>30</v>
      </c>
      <c r="F37" s="9" t="s">
        <v>97</v>
      </c>
      <c r="G37" s="9" t="s">
        <v>32</v>
      </c>
      <c r="H37" s="9">
        <v>38</v>
      </c>
      <c r="I37" s="9" t="s">
        <v>65</v>
      </c>
      <c r="J37" s="10">
        <v>1.28571428571428</v>
      </c>
      <c r="K37" s="9"/>
      <c r="L37" s="9"/>
      <c r="M37" s="9"/>
      <c r="N37" s="9"/>
      <c r="O37" s="9"/>
      <c r="P37" s="10">
        <f t="shared" si="12"/>
        <v>1.6666666666666667</v>
      </c>
      <c r="Q37" s="30">
        <f t="shared" si="13"/>
        <v>11.853333333333332</v>
      </c>
      <c r="R37" s="10">
        <f t="shared" si="14"/>
        <v>13.519999999999998</v>
      </c>
      <c r="S37" s="10">
        <f t="shared" si="15"/>
        <v>12.686666666666664</v>
      </c>
      <c r="T37" s="10">
        <v>8.1999999999999993</v>
      </c>
      <c r="U37" s="10">
        <v>-19</v>
      </c>
      <c r="V37" s="10">
        <v>14.3</v>
      </c>
      <c r="W37" s="10">
        <v>16.2</v>
      </c>
      <c r="X37" s="10">
        <v>45.7</v>
      </c>
      <c r="Y37" s="31">
        <v>0.16</v>
      </c>
      <c r="Z37" s="9">
        <v>3.3</v>
      </c>
      <c r="AA37" s="9">
        <v>780</v>
      </c>
      <c r="AB37" s="9">
        <v>236</v>
      </c>
      <c r="AC37" s="11"/>
      <c r="AD37" s="11"/>
      <c r="AE37" s="12"/>
    </row>
    <row r="38" spans="1:31" x14ac:dyDescent="0.3">
      <c r="A38" s="7"/>
      <c r="B38" s="8" t="s">
        <v>98</v>
      </c>
      <c r="C38" s="15" t="s">
        <v>99</v>
      </c>
      <c r="D38" s="15" t="s">
        <v>29</v>
      </c>
      <c r="E38" s="15" t="s">
        <v>30</v>
      </c>
      <c r="F38" s="15" t="s">
        <v>100</v>
      </c>
      <c r="G38" s="15" t="s">
        <v>32</v>
      </c>
      <c r="H38" s="15">
        <v>38</v>
      </c>
      <c r="I38" s="15" t="s">
        <v>65</v>
      </c>
      <c r="J38" s="16">
        <v>1.28571428571428</v>
      </c>
      <c r="K38" s="16">
        <f>SUM(J38:J39)</f>
        <v>2.5714285714285601</v>
      </c>
      <c r="L38" s="15"/>
      <c r="M38" s="15"/>
      <c r="N38" s="15">
        <f>14.5-13.5</f>
        <v>1</v>
      </c>
      <c r="O38" s="16">
        <f>N38/K38</f>
        <v>0.38888888888889062</v>
      </c>
      <c r="P38" s="16">
        <f>$O$38*J38</f>
        <v>0.5</v>
      </c>
      <c r="Q38" s="32">
        <f t="shared" si="13"/>
        <v>13.529999999999998</v>
      </c>
      <c r="R38" s="16">
        <f t="shared" si="14"/>
        <v>14.029999999999998</v>
      </c>
      <c r="S38" s="16">
        <f t="shared" si="15"/>
        <v>13.779999999999998</v>
      </c>
      <c r="T38" s="16">
        <v>8.3000000000000007</v>
      </c>
      <c r="U38" s="16">
        <v>-18.7</v>
      </c>
      <c r="V38" s="16">
        <v>13</v>
      </c>
      <c r="W38" s="16">
        <v>14.2</v>
      </c>
      <c r="X38" s="16">
        <v>39.4</v>
      </c>
      <c r="Y38" s="33">
        <v>0.15</v>
      </c>
      <c r="Z38" s="15">
        <v>3.2</v>
      </c>
      <c r="AA38" s="15">
        <v>718</v>
      </c>
      <c r="AB38" s="15">
        <v>222</v>
      </c>
      <c r="AC38" s="11"/>
      <c r="AD38" s="11"/>
      <c r="AE38" s="12"/>
    </row>
    <row r="39" spans="1:31" x14ac:dyDescent="0.3">
      <c r="A39" s="7"/>
      <c r="B39" s="8"/>
      <c r="C39" s="15" t="s">
        <v>101</v>
      </c>
      <c r="D39" s="15" t="s">
        <v>29</v>
      </c>
      <c r="E39" s="15" t="s">
        <v>30</v>
      </c>
      <c r="F39" s="15" t="s">
        <v>102</v>
      </c>
      <c r="G39" s="15" t="s">
        <v>32</v>
      </c>
      <c r="H39" s="15">
        <v>38</v>
      </c>
      <c r="I39" s="15" t="s">
        <v>65</v>
      </c>
      <c r="J39" s="16">
        <v>1.28571428571428</v>
      </c>
      <c r="K39" s="15"/>
      <c r="L39" s="15"/>
      <c r="M39" s="15"/>
      <c r="N39" s="15"/>
      <c r="O39" s="15"/>
      <c r="P39" s="16">
        <f>$O$38*J39</f>
        <v>0.5</v>
      </c>
      <c r="Q39" s="32">
        <f t="shared" si="13"/>
        <v>14.039999999999997</v>
      </c>
      <c r="R39" s="16">
        <f t="shared" si="14"/>
        <v>14.539999999999997</v>
      </c>
      <c r="S39" s="16">
        <f t="shared" si="15"/>
        <v>14.289999999999997</v>
      </c>
      <c r="T39" s="16">
        <v>8</v>
      </c>
      <c r="U39" s="16">
        <v>-19</v>
      </c>
      <c r="V39" s="16">
        <v>13.4</v>
      </c>
      <c r="W39" s="16">
        <v>12.8</v>
      </c>
      <c r="X39" s="16">
        <v>36.700000000000003</v>
      </c>
      <c r="Y39" s="33">
        <v>0.15</v>
      </c>
      <c r="Z39" s="15">
        <v>3.4</v>
      </c>
      <c r="AA39" s="15">
        <v>669</v>
      </c>
      <c r="AB39" s="15">
        <v>199</v>
      </c>
      <c r="AC39" s="11"/>
      <c r="AD39" s="11"/>
      <c r="AE39" s="12"/>
    </row>
    <row r="40" spans="1:31" x14ac:dyDescent="0.3">
      <c r="A40" s="7"/>
      <c r="B40" s="8" t="s">
        <v>85</v>
      </c>
      <c r="C40" s="18" t="s">
        <v>103</v>
      </c>
      <c r="D40" s="18" t="s">
        <v>29</v>
      </c>
      <c r="E40" s="18" t="s">
        <v>30</v>
      </c>
      <c r="F40" s="18" t="s">
        <v>104</v>
      </c>
      <c r="G40" s="18" t="s">
        <v>32</v>
      </c>
      <c r="H40" s="18">
        <v>38</v>
      </c>
      <c r="I40" s="18" t="s">
        <v>65</v>
      </c>
      <c r="J40" s="19">
        <v>1.28571428571428</v>
      </c>
      <c r="K40" s="19">
        <f>SUM(J40:J43)</f>
        <v>7.7142857154285593</v>
      </c>
      <c r="L40" s="18"/>
      <c r="M40" s="18"/>
      <c r="N40" s="18">
        <f>19.5-14.5</f>
        <v>5</v>
      </c>
      <c r="O40" s="19">
        <f>N40/K40</f>
        <v>0.64814814805212717</v>
      </c>
      <c r="P40" s="19">
        <f>$O$40*J40</f>
        <v>0.83333333320987413</v>
      </c>
      <c r="Q40" s="35">
        <f t="shared" si="13"/>
        <v>14.549999999999997</v>
      </c>
      <c r="R40" s="19">
        <f t="shared" si="14"/>
        <v>15.383333333209871</v>
      </c>
      <c r="S40" s="19">
        <f t="shared" si="15"/>
        <v>14.966666666604933</v>
      </c>
      <c r="T40" s="19">
        <v>7.9</v>
      </c>
      <c r="U40" s="19">
        <v>-19.3</v>
      </c>
      <c r="V40" s="19">
        <v>12.5</v>
      </c>
      <c r="W40" s="19">
        <v>12.2</v>
      </c>
      <c r="X40" s="19">
        <v>34.5</v>
      </c>
      <c r="Y40" s="36">
        <v>0.15</v>
      </c>
      <c r="Z40" s="18">
        <v>3.3</v>
      </c>
      <c r="AA40" s="18">
        <v>635</v>
      </c>
      <c r="AB40" s="18">
        <v>192</v>
      </c>
      <c r="AC40" s="11"/>
      <c r="AD40" s="11"/>
      <c r="AE40" s="12"/>
    </row>
    <row r="41" spans="1:31" x14ac:dyDescent="0.3">
      <c r="A41" s="7"/>
      <c r="B41" s="8"/>
      <c r="C41" s="18" t="s">
        <v>105</v>
      </c>
      <c r="D41" s="18" t="s">
        <v>29</v>
      </c>
      <c r="E41" s="18" t="s">
        <v>30</v>
      </c>
      <c r="F41" s="18" t="s">
        <v>106</v>
      </c>
      <c r="G41" s="18" t="s">
        <v>32</v>
      </c>
      <c r="H41" s="18">
        <v>38</v>
      </c>
      <c r="I41" s="18" t="s">
        <v>65</v>
      </c>
      <c r="J41" s="19">
        <v>1.28571428571428</v>
      </c>
      <c r="K41" s="18"/>
      <c r="L41" s="18"/>
      <c r="M41" s="18"/>
      <c r="N41" s="18"/>
      <c r="O41" s="18"/>
      <c r="P41" s="19">
        <f t="shared" ref="P41:P43" si="16">$O$40*J41</f>
        <v>0.83333333320987413</v>
      </c>
      <c r="Q41" s="35">
        <f t="shared" si="13"/>
        <v>15.393333333209871</v>
      </c>
      <c r="R41" s="19">
        <f t="shared" si="14"/>
        <v>16.226666666419746</v>
      </c>
      <c r="S41" s="19">
        <f t="shared" si="15"/>
        <v>15.809999999814808</v>
      </c>
      <c r="T41" s="19">
        <v>7.9</v>
      </c>
      <c r="U41" s="19">
        <v>-19.899999999999999</v>
      </c>
      <c r="V41" s="19"/>
      <c r="W41" s="19">
        <v>11.2</v>
      </c>
      <c r="X41" s="19">
        <v>30.9</v>
      </c>
      <c r="Y41" s="36"/>
      <c r="Z41" s="18">
        <v>3.2</v>
      </c>
      <c r="AA41" s="18"/>
      <c r="AB41" s="18"/>
      <c r="AC41" s="11"/>
      <c r="AD41" s="11"/>
      <c r="AE41" s="12"/>
    </row>
    <row r="42" spans="1:31" x14ac:dyDescent="0.3">
      <c r="A42" s="7"/>
      <c r="B42" s="8"/>
      <c r="C42" s="18" t="s">
        <v>107</v>
      </c>
      <c r="D42" s="18" t="s">
        <v>29</v>
      </c>
      <c r="E42" s="18" t="s">
        <v>30</v>
      </c>
      <c r="F42" s="18" t="s">
        <v>108</v>
      </c>
      <c r="G42" s="18" t="s">
        <v>32</v>
      </c>
      <c r="H42" s="18">
        <v>38</v>
      </c>
      <c r="I42" s="18" t="s">
        <v>65</v>
      </c>
      <c r="J42" s="19">
        <v>2.5714285719999999</v>
      </c>
      <c r="K42" s="18"/>
      <c r="L42" s="18"/>
      <c r="M42" s="18"/>
      <c r="N42" s="18"/>
      <c r="O42" s="18"/>
      <c r="P42" s="19">
        <f t="shared" si="16"/>
        <v>1.6666666667901258</v>
      </c>
      <c r="Q42" s="35">
        <f t="shared" si="13"/>
        <v>16.236666666419747</v>
      </c>
      <c r="R42" s="19">
        <f t="shared" si="14"/>
        <v>17.903333333209872</v>
      </c>
      <c r="S42" s="19">
        <f t="shared" si="15"/>
        <v>17.069999999814812</v>
      </c>
      <c r="T42" s="19">
        <v>7.7</v>
      </c>
      <c r="U42" s="19">
        <v>-20.100000000000001</v>
      </c>
      <c r="V42" s="19"/>
      <c r="W42" s="19">
        <v>12.9</v>
      </c>
      <c r="X42" s="19">
        <v>37.299999999999997</v>
      </c>
      <c r="Y42" s="36"/>
      <c r="Z42" s="18">
        <v>3.4</v>
      </c>
      <c r="AA42" s="18"/>
      <c r="AB42" s="18"/>
      <c r="AC42" s="11"/>
      <c r="AD42" s="11"/>
      <c r="AE42" s="12"/>
    </row>
    <row r="43" spans="1:31" x14ac:dyDescent="0.3">
      <c r="A43" s="7"/>
      <c r="B43" s="8"/>
      <c r="C43" s="18" t="s">
        <v>109</v>
      </c>
      <c r="D43" s="18" t="s">
        <v>29</v>
      </c>
      <c r="E43" s="18" t="s">
        <v>30</v>
      </c>
      <c r="F43" s="18" t="s">
        <v>110</v>
      </c>
      <c r="G43" s="18" t="s">
        <v>32</v>
      </c>
      <c r="H43" s="18">
        <v>38</v>
      </c>
      <c r="I43" s="18" t="s">
        <v>65</v>
      </c>
      <c r="J43" s="19">
        <v>2.5714285719999999</v>
      </c>
      <c r="K43" s="18"/>
      <c r="L43" s="18"/>
      <c r="M43" s="18"/>
      <c r="N43" s="18"/>
      <c r="O43" s="18"/>
      <c r="P43" s="19">
        <f t="shared" si="16"/>
        <v>1.6666666667901258</v>
      </c>
      <c r="Q43" s="35">
        <f t="shared" si="13"/>
        <v>17.913333333209874</v>
      </c>
      <c r="R43" s="19">
        <f t="shared" si="14"/>
        <v>19.579999999999998</v>
      </c>
      <c r="S43" s="19">
        <f t="shared" si="15"/>
        <v>18.746666666604938</v>
      </c>
      <c r="T43" s="19">
        <v>8.1</v>
      </c>
      <c r="U43" s="19">
        <v>-20.2</v>
      </c>
      <c r="V43" s="19"/>
      <c r="W43" s="19">
        <v>12.6</v>
      </c>
      <c r="X43" s="19">
        <v>35.9</v>
      </c>
      <c r="Y43" s="36"/>
      <c r="Z43" s="18">
        <v>3.3</v>
      </c>
      <c r="AA43" s="18"/>
      <c r="AB43" s="18"/>
      <c r="AC43" s="11"/>
      <c r="AD43" s="11"/>
      <c r="AE43" s="12"/>
    </row>
    <row r="44" spans="1:31" x14ac:dyDescent="0.3">
      <c r="A44" s="7"/>
      <c r="B44" s="8" t="s">
        <v>88</v>
      </c>
      <c r="C44" s="22"/>
      <c r="D44" s="22"/>
      <c r="E44" s="22"/>
      <c r="F44" s="22" t="s">
        <v>111</v>
      </c>
      <c r="G44" s="22" t="s">
        <v>32</v>
      </c>
      <c r="H44" s="22">
        <v>38</v>
      </c>
      <c r="I44" s="22" t="s">
        <v>65</v>
      </c>
      <c r="J44" s="23">
        <v>1.28571428571428</v>
      </c>
      <c r="K44" s="23">
        <f>SUM(J44:J45)</f>
        <v>3.8571428577142797</v>
      </c>
      <c r="L44" s="22"/>
      <c r="M44" s="22"/>
      <c r="N44" s="22">
        <f>23.5-19.5</f>
        <v>4</v>
      </c>
      <c r="O44" s="23">
        <f>N44/K44</f>
        <v>1.0370370368834037</v>
      </c>
      <c r="P44" s="23">
        <f>$O$44*J44</f>
        <v>1.3333333331357988</v>
      </c>
      <c r="Q44" s="38">
        <f t="shared" si="13"/>
        <v>19.59</v>
      </c>
      <c r="R44" s="23">
        <f t="shared" si="14"/>
        <v>20.923333333135798</v>
      </c>
      <c r="S44" s="23">
        <f t="shared" si="15"/>
        <v>20.256666666567899</v>
      </c>
      <c r="T44" s="23"/>
      <c r="U44" s="23"/>
      <c r="V44" s="23"/>
      <c r="W44" s="23"/>
      <c r="X44" s="23"/>
      <c r="Y44" s="39"/>
      <c r="Z44" s="22"/>
      <c r="AA44" s="22"/>
      <c r="AB44" s="22"/>
      <c r="AC44" s="11"/>
      <c r="AD44" s="11"/>
      <c r="AE44" s="12"/>
    </row>
    <row r="45" spans="1:31" x14ac:dyDescent="0.3">
      <c r="A45" s="7"/>
      <c r="B45" s="8"/>
      <c r="C45" s="22" t="s">
        <v>112</v>
      </c>
      <c r="D45" s="22" t="s">
        <v>29</v>
      </c>
      <c r="E45" s="22" t="s">
        <v>30</v>
      </c>
      <c r="F45" s="22" t="s">
        <v>113</v>
      </c>
      <c r="G45" s="22" t="s">
        <v>32</v>
      </c>
      <c r="H45" s="22">
        <v>38</v>
      </c>
      <c r="I45" s="22" t="s">
        <v>65</v>
      </c>
      <c r="J45" s="23">
        <v>2.5714285719999999</v>
      </c>
      <c r="K45" s="22"/>
      <c r="L45" s="22"/>
      <c r="M45" s="22"/>
      <c r="N45" s="22"/>
      <c r="O45" s="22"/>
      <c r="P45" s="23">
        <f>$O$44*J45</f>
        <v>2.6666666668642018</v>
      </c>
      <c r="Q45" s="38">
        <f t="shared" si="13"/>
        <v>20.933333333135799</v>
      </c>
      <c r="R45" s="23">
        <f t="shared" si="14"/>
        <v>23.6</v>
      </c>
      <c r="S45" s="23">
        <f t="shared" si="15"/>
        <v>22.2666666665679</v>
      </c>
      <c r="T45" s="23">
        <v>8.5</v>
      </c>
      <c r="U45" s="23">
        <v>-20.100000000000001</v>
      </c>
      <c r="V45" s="23"/>
      <c r="W45" s="23">
        <v>12.6</v>
      </c>
      <c r="X45" s="23">
        <v>36.1</v>
      </c>
      <c r="Y45" s="39"/>
      <c r="Z45" s="22">
        <v>3.3</v>
      </c>
      <c r="AA45" s="22"/>
      <c r="AB45" s="22"/>
      <c r="AC45" s="12"/>
      <c r="AD45" s="12"/>
      <c r="AE45" s="12"/>
    </row>
    <row r="46" spans="1:31" x14ac:dyDescent="0.3">
      <c r="A46" s="25"/>
      <c r="B46" s="40"/>
      <c r="C46" s="27" t="s">
        <v>114</v>
      </c>
      <c r="D46" s="27" t="s">
        <v>29</v>
      </c>
      <c r="E46" s="27" t="s">
        <v>30</v>
      </c>
      <c r="F46" s="27" t="s">
        <v>115</v>
      </c>
      <c r="G46" s="27" t="s">
        <v>32</v>
      </c>
      <c r="H46" s="27">
        <v>38</v>
      </c>
      <c r="I46" s="27" t="s">
        <v>65</v>
      </c>
      <c r="J46" s="27"/>
      <c r="K46" s="27"/>
      <c r="L46" s="27"/>
      <c r="M46" s="27"/>
      <c r="N46" s="27"/>
      <c r="O46" s="27"/>
      <c r="P46" s="27"/>
      <c r="Q46" s="27"/>
      <c r="R46" s="27"/>
      <c r="S46" s="27" t="s">
        <v>116</v>
      </c>
      <c r="T46" s="41">
        <v>7.9</v>
      </c>
      <c r="U46" s="41">
        <v>-19.3</v>
      </c>
      <c r="V46" s="41">
        <v>13</v>
      </c>
      <c r="W46" s="41">
        <v>13.8</v>
      </c>
      <c r="X46" s="41">
        <v>39.299999999999997</v>
      </c>
      <c r="Y46" s="42">
        <v>0.15</v>
      </c>
      <c r="Z46" s="27">
        <v>3.3</v>
      </c>
      <c r="AA46" s="27">
        <v>681</v>
      </c>
      <c r="AB46" s="27">
        <v>205</v>
      </c>
      <c r="AC46" s="12"/>
      <c r="AD46" s="12"/>
      <c r="AE46" s="12"/>
    </row>
    <row r="48" spans="1:31" ht="72" x14ac:dyDescent="0.3">
      <c r="C48" s="1" t="s">
        <v>0</v>
      </c>
      <c r="D48" s="1" t="s">
        <v>1</v>
      </c>
      <c r="E48" s="1" t="s">
        <v>2</v>
      </c>
      <c r="F48" s="1" t="s">
        <v>3</v>
      </c>
      <c r="G48" s="1" t="s">
        <v>4</v>
      </c>
      <c r="H48" s="1" t="s">
        <v>5</v>
      </c>
      <c r="I48" s="1" t="s">
        <v>6</v>
      </c>
      <c r="J48" s="1" t="s">
        <v>7</v>
      </c>
      <c r="K48" s="1" t="s">
        <v>8</v>
      </c>
      <c r="L48" s="1" t="s">
        <v>9</v>
      </c>
      <c r="M48" s="1" t="s">
        <v>10</v>
      </c>
      <c r="N48" s="1" t="s">
        <v>70</v>
      </c>
      <c r="O48" s="1" t="s">
        <v>12</v>
      </c>
      <c r="P48" s="1" t="s">
        <v>13</v>
      </c>
      <c r="Q48" s="1" t="s">
        <v>14</v>
      </c>
      <c r="R48" s="1" t="s">
        <v>15</v>
      </c>
      <c r="S48" s="1" t="s">
        <v>16</v>
      </c>
      <c r="T48" s="2" t="s">
        <v>17</v>
      </c>
      <c r="U48" s="2" t="s">
        <v>18</v>
      </c>
      <c r="V48" s="2" t="s">
        <v>19</v>
      </c>
      <c r="W48" s="2" t="s">
        <v>20</v>
      </c>
      <c r="X48" s="2" t="s">
        <v>21</v>
      </c>
      <c r="Y48" s="3" t="s">
        <v>22</v>
      </c>
      <c r="Z48" s="1" t="s">
        <v>23</v>
      </c>
      <c r="AA48" s="1" t="s">
        <v>24</v>
      </c>
      <c r="AB48" s="1" t="s">
        <v>25</v>
      </c>
      <c r="AC48" s="12"/>
      <c r="AD48" s="12"/>
    </row>
    <row r="49" spans="1:30" x14ac:dyDescent="0.3">
      <c r="C49" s="4"/>
      <c r="D49" s="4"/>
      <c r="E49" s="4"/>
      <c r="F49" s="4"/>
      <c r="G49" s="4"/>
      <c r="H49" s="4"/>
      <c r="I49" s="4"/>
      <c r="J49" s="4"/>
      <c r="K49" s="29"/>
      <c r="L49" s="5">
        <f>SUM(J50:J62)</f>
        <v>17.999999999999886</v>
      </c>
      <c r="M49" s="5">
        <f>16.5-2.5</f>
        <v>14</v>
      </c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6"/>
      <c r="Z49" s="4"/>
      <c r="AA49" s="4"/>
      <c r="AB49" s="4"/>
    </row>
    <row r="50" spans="1:30" x14ac:dyDescent="0.3">
      <c r="A50" s="7" t="s">
        <v>117</v>
      </c>
      <c r="B50" s="8" t="s">
        <v>27</v>
      </c>
      <c r="C50" s="9" t="s">
        <v>118</v>
      </c>
      <c r="D50" s="9" t="s">
        <v>29</v>
      </c>
      <c r="E50" s="9" t="s">
        <v>30</v>
      </c>
      <c r="F50" s="9" t="s">
        <v>119</v>
      </c>
      <c r="G50" s="9" t="s">
        <v>120</v>
      </c>
      <c r="H50" s="9">
        <v>27</v>
      </c>
      <c r="I50" s="9" t="s">
        <v>121</v>
      </c>
      <c r="J50" s="10">
        <v>1.3692307692307599</v>
      </c>
      <c r="K50" s="10">
        <f>SUM(J50:J53)</f>
        <v>5.6769230769230399</v>
      </c>
      <c r="L50" s="9"/>
      <c r="M50" s="9"/>
      <c r="N50" s="10">
        <f>7.5-2.5</f>
        <v>5</v>
      </c>
      <c r="O50" s="10">
        <f>N50/K50</f>
        <v>0.88075880758808167</v>
      </c>
      <c r="P50" s="10">
        <f>$O$50*J50</f>
        <v>1.205962059620596</v>
      </c>
      <c r="Q50" s="10">
        <v>2.5</v>
      </c>
      <c r="R50" s="10">
        <f>P50+Q50</f>
        <v>3.705962059620596</v>
      </c>
      <c r="S50" s="10">
        <f>AVERAGE(Q50:R50)</f>
        <v>3.102981029810298</v>
      </c>
      <c r="T50" s="10">
        <v>7.8</v>
      </c>
      <c r="U50" s="10">
        <v>-19.600000000000001</v>
      </c>
      <c r="V50" s="10">
        <v>11.9</v>
      </c>
      <c r="W50" s="10">
        <v>15.9</v>
      </c>
      <c r="X50" s="10">
        <v>43.8</v>
      </c>
      <c r="Y50" s="31">
        <v>0.19</v>
      </c>
      <c r="Z50" s="9">
        <v>3.2</v>
      </c>
      <c r="AA50" s="9">
        <v>626</v>
      </c>
      <c r="AB50" s="9">
        <v>195</v>
      </c>
      <c r="AC50" s="11"/>
      <c r="AD50" s="11"/>
    </row>
    <row r="51" spans="1:30" x14ac:dyDescent="0.3">
      <c r="A51" s="7"/>
      <c r="B51" s="8"/>
      <c r="C51" s="9" t="s">
        <v>122</v>
      </c>
      <c r="D51" s="9" t="s">
        <v>29</v>
      </c>
      <c r="E51" s="9" t="s">
        <v>30</v>
      </c>
      <c r="F51" s="9" t="s">
        <v>123</v>
      </c>
      <c r="G51" s="9" t="s">
        <v>120</v>
      </c>
      <c r="H51" s="9">
        <v>27</v>
      </c>
      <c r="I51" s="9" t="s">
        <v>121</v>
      </c>
      <c r="J51" s="10">
        <v>1.3692307692307599</v>
      </c>
      <c r="K51" s="9"/>
      <c r="L51" s="9"/>
      <c r="M51" s="9"/>
      <c r="N51" s="9"/>
      <c r="O51" s="9"/>
      <c r="P51" s="10">
        <f t="shared" ref="P51:P53" si="17">$O$50*J51</f>
        <v>1.205962059620596</v>
      </c>
      <c r="Q51" s="30">
        <f t="shared" ref="Q51:Q62" si="18">R50+0.01</f>
        <v>3.7159620596205958</v>
      </c>
      <c r="R51" s="10">
        <f t="shared" ref="R51:R61" si="19">P51+Q51</f>
        <v>4.9219241192411918</v>
      </c>
      <c r="S51" s="10">
        <f t="shared" ref="S51:S62" si="20">AVERAGE(Q51:R51)</f>
        <v>4.3189430894308938</v>
      </c>
      <c r="T51" s="10">
        <v>7.4</v>
      </c>
      <c r="U51" s="10">
        <v>-19.7</v>
      </c>
      <c r="V51" s="10">
        <v>11.3</v>
      </c>
      <c r="W51" s="10">
        <v>15</v>
      </c>
      <c r="X51" s="10">
        <v>41.4</v>
      </c>
      <c r="Y51" s="31">
        <v>0.2</v>
      </c>
      <c r="Z51" s="9">
        <v>3.2</v>
      </c>
      <c r="AA51" s="9">
        <v>553</v>
      </c>
      <c r="AB51" s="9">
        <v>172</v>
      </c>
      <c r="AC51" s="11"/>
      <c r="AD51" s="11"/>
    </row>
    <row r="52" spans="1:30" x14ac:dyDescent="0.3">
      <c r="A52" s="7"/>
      <c r="B52" s="8"/>
      <c r="C52" s="9" t="s">
        <v>124</v>
      </c>
      <c r="D52" s="9" t="s">
        <v>29</v>
      </c>
      <c r="E52" s="9" t="s">
        <v>30</v>
      </c>
      <c r="F52" s="9" t="s">
        <v>125</v>
      </c>
      <c r="G52" s="9" t="s">
        <v>120</v>
      </c>
      <c r="H52" s="9">
        <v>27</v>
      </c>
      <c r="I52" s="9" t="s">
        <v>121</v>
      </c>
      <c r="J52" s="10">
        <v>1.3692307692307599</v>
      </c>
      <c r="K52" s="9"/>
      <c r="L52" s="9"/>
      <c r="M52" s="9"/>
      <c r="N52" s="9"/>
      <c r="O52" s="9"/>
      <c r="P52" s="10">
        <f t="shared" si="17"/>
        <v>1.205962059620596</v>
      </c>
      <c r="Q52" s="30">
        <f t="shared" si="18"/>
        <v>4.9319241192411916</v>
      </c>
      <c r="R52" s="10">
        <f t="shared" si="19"/>
        <v>6.1378861788617876</v>
      </c>
      <c r="S52" s="10">
        <f t="shared" si="20"/>
        <v>5.5349051490514896</v>
      </c>
      <c r="T52" s="10">
        <v>7.3</v>
      </c>
      <c r="U52" s="10">
        <v>-19.600000000000001</v>
      </c>
      <c r="V52" s="10">
        <v>13</v>
      </c>
      <c r="W52" s="10">
        <v>16</v>
      </c>
      <c r="X52" s="10">
        <v>44.5</v>
      </c>
      <c r="Y52" s="31">
        <v>0.19</v>
      </c>
      <c r="Z52" s="9">
        <v>3.3</v>
      </c>
      <c r="AA52" s="9">
        <v>641</v>
      </c>
      <c r="AB52" s="9">
        <v>197</v>
      </c>
      <c r="AC52" s="11"/>
      <c r="AD52" s="11"/>
    </row>
    <row r="53" spans="1:30" x14ac:dyDescent="0.3">
      <c r="A53" s="7"/>
      <c r="B53" s="8"/>
      <c r="C53" s="9" t="s">
        <v>126</v>
      </c>
      <c r="D53" s="9" t="s">
        <v>29</v>
      </c>
      <c r="E53" s="9" t="s">
        <v>30</v>
      </c>
      <c r="F53" s="9" t="s">
        <v>127</v>
      </c>
      <c r="G53" s="9" t="s">
        <v>120</v>
      </c>
      <c r="H53" s="9">
        <v>27</v>
      </c>
      <c r="I53" s="9" t="s">
        <v>121</v>
      </c>
      <c r="J53" s="10">
        <v>1.5692307692307601</v>
      </c>
      <c r="K53" s="9"/>
      <c r="L53" s="9"/>
      <c r="M53" s="9"/>
      <c r="N53" s="9"/>
      <c r="O53" s="9"/>
      <c r="P53" s="10">
        <f t="shared" si="17"/>
        <v>1.3821138211382125</v>
      </c>
      <c r="Q53" s="30">
        <f t="shared" si="18"/>
        <v>6.1478861788617873</v>
      </c>
      <c r="R53" s="10">
        <f t="shared" si="19"/>
        <v>7.5299999999999994</v>
      </c>
      <c r="S53" s="10">
        <f t="shared" si="20"/>
        <v>6.8389430894308934</v>
      </c>
      <c r="T53" s="10">
        <v>7.4</v>
      </c>
      <c r="U53" s="10">
        <v>-19.3</v>
      </c>
      <c r="V53" s="10">
        <v>13.8</v>
      </c>
      <c r="W53" s="10">
        <v>14.8</v>
      </c>
      <c r="X53" s="10">
        <v>41.4</v>
      </c>
      <c r="Y53" s="31">
        <v>0.19</v>
      </c>
      <c r="Z53" s="9">
        <v>3.3</v>
      </c>
      <c r="AA53" s="9">
        <v>582</v>
      </c>
      <c r="AB53" s="9">
        <v>178</v>
      </c>
      <c r="AC53" s="11"/>
      <c r="AD53" s="11"/>
    </row>
    <row r="54" spans="1:30" x14ac:dyDescent="0.3">
      <c r="A54" s="7"/>
      <c r="B54" s="8" t="s">
        <v>44</v>
      </c>
      <c r="C54" s="15" t="s">
        <v>128</v>
      </c>
      <c r="D54" s="15" t="s">
        <v>29</v>
      </c>
      <c r="E54" s="15" t="s">
        <v>30</v>
      </c>
      <c r="F54" s="15" t="s">
        <v>129</v>
      </c>
      <c r="G54" s="15" t="s">
        <v>120</v>
      </c>
      <c r="H54" s="15">
        <v>27</v>
      </c>
      <c r="I54" s="15" t="s">
        <v>121</v>
      </c>
      <c r="J54" s="16">
        <v>1.3692307692307599</v>
      </c>
      <c r="K54" s="16">
        <f>SUM(J54:J55)</f>
        <v>2.7384615384615199</v>
      </c>
      <c r="L54" s="15"/>
      <c r="M54" s="15"/>
      <c r="N54" s="15">
        <f>9.5-7.5</f>
        <v>2</v>
      </c>
      <c r="O54" s="16">
        <f>N54/K54</f>
        <v>0.7303370786516904</v>
      </c>
      <c r="P54" s="16">
        <f>$O$54*J54</f>
        <v>1</v>
      </c>
      <c r="Q54" s="32">
        <f t="shared" si="18"/>
        <v>7.5399999999999991</v>
      </c>
      <c r="R54" s="16">
        <f t="shared" si="19"/>
        <v>8.5399999999999991</v>
      </c>
      <c r="S54" s="16">
        <f t="shared" si="20"/>
        <v>8.0399999999999991</v>
      </c>
      <c r="T54" s="16">
        <v>7.9</v>
      </c>
      <c r="U54" s="16">
        <v>-19.5</v>
      </c>
      <c r="V54" s="16">
        <v>12.6</v>
      </c>
      <c r="W54" s="16">
        <v>16.5</v>
      </c>
      <c r="X54" s="16">
        <v>46.8</v>
      </c>
      <c r="Y54" s="33">
        <v>0.21</v>
      </c>
      <c r="Z54" s="15">
        <v>3.3</v>
      </c>
      <c r="AA54" s="15">
        <v>590</v>
      </c>
      <c r="AB54" s="15">
        <v>178</v>
      </c>
      <c r="AC54" s="11"/>
      <c r="AD54" s="11"/>
    </row>
    <row r="55" spans="1:30" x14ac:dyDescent="0.3">
      <c r="A55" s="7"/>
      <c r="B55" s="8"/>
      <c r="C55" s="15"/>
      <c r="D55" s="15"/>
      <c r="E55" s="15"/>
      <c r="F55" s="15" t="s">
        <v>130</v>
      </c>
      <c r="G55" s="15" t="s">
        <v>120</v>
      </c>
      <c r="H55" s="15">
        <v>27</v>
      </c>
      <c r="I55" s="15" t="s">
        <v>121</v>
      </c>
      <c r="J55" s="16">
        <v>1.3692307692307599</v>
      </c>
      <c r="K55" s="15"/>
      <c r="L55" s="15"/>
      <c r="M55" s="15"/>
      <c r="N55" s="15"/>
      <c r="O55" s="15"/>
      <c r="P55" s="16">
        <f>$O$54*J55</f>
        <v>1</v>
      </c>
      <c r="Q55" s="32">
        <f t="shared" si="18"/>
        <v>8.5499999999999989</v>
      </c>
      <c r="R55" s="16">
        <f t="shared" si="19"/>
        <v>9.5499999999999989</v>
      </c>
      <c r="S55" s="16">
        <f t="shared" si="20"/>
        <v>9.0499999999999989</v>
      </c>
      <c r="T55" s="15"/>
      <c r="U55" s="15"/>
      <c r="V55" s="15"/>
      <c r="W55" s="15"/>
      <c r="X55" s="15"/>
      <c r="Y55" s="15"/>
      <c r="Z55" s="15"/>
      <c r="AA55" s="15"/>
      <c r="AB55" s="15"/>
      <c r="AC55" s="11"/>
      <c r="AD55" s="11"/>
    </row>
    <row r="56" spans="1:30" x14ac:dyDescent="0.3">
      <c r="A56" s="7"/>
      <c r="B56" s="8" t="s">
        <v>85</v>
      </c>
      <c r="C56" s="18"/>
      <c r="D56" s="18"/>
      <c r="E56" s="18"/>
      <c r="F56" s="18" t="s">
        <v>131</v>
      </c>
      <c r="G56" s="18" t="s">
        <v>120</v>
      </c>
      <c r="H56" s="18">
        <v>27</v>
      </c>
      <c r="I56" s="18" t="s">
        <v>121</v>
      </c>
      <c r="J56" s="19">
        <v>1.3692307692307599</v>
      </c>
      <c r="K56" s="19">
        <f>SUM(J56:J60)</f>
        <v>6.8461538461537996</v>
      </c>
      <c r="L56" s="18"/>
      <c r="M56" s="18"/>
      <c r="N56" s="18">
        <f>14.5-9.5</f>
        <v>5</v>
      </c>
      <c r="O56" s="19">
        <f>N56/K56</f>
        <v>0.7303370786516904</v>
      </c>
      <c r="P56" s="19">
        <f>$O$56*J56</f>
        <v>1</v>
      </c>
      <c r="Q56" s="35">
        <f t="shared" si="18"/>
        <v>9.5599999999999987</v>
      </c>
      <c r="R56" s="19">
        <f t="shared" si="19"/>
        <v>10.559999999999999</v>
      </c>
      <c r="S56" s="19">
        <f t="shared" si="20"/>
        <v>10.059999999999999</v>
      </c>
      <c r="T56" s="18"/>
      <c r="U56" s="18"/>
      <c r="V56" s="18"/>
      <c r="W56" s="18"/>
      <c r="X56" s="18"/>
      <c r="Y56" s="18"/>
      <c r="Z56" s="18"/>
      <c r="AA56" s="18"/>
      <c r="AB56" s="18"/>
      <c r="AC56" s="11"/>
      <c r="AD56" s="11"/>
    </row>
    <row r="57" spans="1:30" x14ac:dyDescent="0.3">
      <c r="A57" s="7"/>
      <c r="B57" s="8"/>
      <c r="C57" s="18" t="s">
        <v>132</v>
      </c>
      <c r="D57" s="18" t="s">
        <v>29</v>
      </c>
      <c r="E57" s="18" t="s">
        <v>30</v>
      </c>
      <c r="F57" s="18" t="s">
        <v>133</v>
      </c>
      <c r="G57" s="18" t="s">
        <v>120</v>
      </c>
      <c r="H57" s="18">
        <v>27</v>
      </c>
      <c r="I57" s="18" t="s">
        <v>121</v>
      </c>
      <c r="J57" s="19">
        <v>1.3692307692307599</v>
      </c>
      <c r="K57" s="18"/>
      <c r="L57" s="18"/>
      <c r="M57" s="18"/>
      <c r="N57" s="18"/>
      <c r="O57" s="18"/>
      <c r="P57" s="19">
        <f t="shared" ref="P57:P60" si="21">$O$56*J57</f>
        <v>1</v>
      </c>
      <c r="Q57" s="35">
        <f t="shared" si="18"/>
        <v>10.569999999999999</v>
      </c>
      <c r="R57" s="19">
        <f t="shared" si="19"/>
        <v>11.569999999999999</v>
      </c>
      <c r="S57" s="19">
        <f t="shared" si="20"/>
        <v>11.069999999999999</v>
      </c>
      <c r="T57" s="19">
        <v>8.6999999999999993</v>
      </c>
      <c r="U57" s="19">
        <v>-20</v>
      </c>
      <c r="V57" s="19"/>
      <c r="W57" s="19">
        <v>12.1</v>
      </c>
      <c r="X57" s="19">
        <v>32.700000000000003</v>
      </c>
      <c r="Y57" s="36"/>
      <c r="Z57" s="18">
        <v>3.2</v>
      </c>
      <c r="AA57" s="18"/>
      <c r="AB57" s="18"/>
      <c r="AC57" s="11"/>
      <c r="AD57" s="11"/>
    </row>
    <row r="58" spans="1:30" x14ac:dyDescent="0.3">
      <c r="A58" s="7"/>
      <c r="B58" s="8"/>
      <c r="C58" s="18" t="s">
        <v>134</v>
      </c>
      <c r="D58" s="18" t="s">
        <v>29</v>
      </c>
      <c r="E58" s="18" t="s">
        <v>30</v>
      </c>
      <c r="F58" s="18" t="s">
        <v>135</v>
      </c>
      <c r="G58" s="18" t="s">
        <v>120</v>
      </c>
      <c r="H58" s="18">
        <v>27</v>
      </c>
      <c r="I58" s="18" t="s">
        <v>121</v>
      </c>
      <c r="J58" s="19">
        <v>1.3692307692307599</v>
      </c>
      <c r="K58" s="18"/>
      <c r="L58" s="18"/>
      <c r="M58" s="18"/>
      <c r="N58" s="18"/>
      <c r="O58" s="18"/>
      <c r="P58" s="19">
        <f t="shared" si="21"/>
        <v>1</v>
      </c>
      <c r="Q58" s="35">
        <f t="shared" si="18"/>
        <v>11.579999999999998</v>
      </c>
      <c r="R58" s="19">
        <f t="shared" si="19"/>
        <v>12.579999999999998</v>
      </c>
      <c r="S58" s="19">
        <f t="shared" si="20"/>
        <v>12.079999999999998</v>
      </c>
      <c r="T58" s="19">
        <v>8.8000000000000007</v>
      </c>
      <c r="U58" s="19">
        <v>-20.100000000000001</v>
      </c>
      <c r="V58" s="19"/>
      <c r="W58" s="19">
        <v>12.4</v>
      </c>
      <c r="X58" s="19">
        <v>34.9</v>
      </c>
      <c r="Y58" s="36"/>
      <c r="Z58" s="18">
        <v>3.3</v>
      </c>
      <c r="AA58" s="18"/>
      <c r="AB58" s="18"/>
      <c r="AC58" s="11"/>
      <c r="AD58" s="11"/>
    </row>
    <row r="59" spans="1:30" x14ac:dyDescent="0.3">
      <c r="A59" s="7"/>
      <c r="B59" s="8"/>
      <c r="C59" s="18" t="s">
        <v>136</v>
      </c>
      <c r="D59" s="18" t="s">
        <v>29</v>
      </c>
      <c r="E59" s="18" t="s">
        <v>30</v>
      </c>
      <c r="F59" s="18" t="s">
        <v>137</v>
      </c>
      <c r="G59" s="18" t="s">
        <v>120</v>
      </c>
      <c r="H59" s="18">
        <v>27</v>
      </c>
      <c r="I59" s="18" t="s">
        <v>121</v>
      </c>
      <c r="J59" s="19">
        <v>1.3692307692307599</v>
      </c>
      <c r="K59" s="18"/>
      <c r="L59" s="18"/>
      <c r="M59" s="18"/>
      <c r="N59" s="18"/>
      <c r="O59" s="18"/>
      <c r="P59" s="19">
        <f t="shared" si="21"/>
        <v>1</v>
      </c>
      <c r="Q59" s="35">
        <f t="shared" si="18"/>
        <v>12.589999999999998</v>
      </c>
      <c r="R59" s="19">
        <f t="shared" si="19"/>
        <v>13.589999999999998</v>
      </c>
      <c r="S59" s="19">
        <f t="shared" si="20"/>
        <v>13.089999999999998</v>
      </c>
      <c r="T59" s="19">
        <v>8.6999999999999993</v>
      </c>
      <c r="U59" s="19">
        <v>-20.2</v>
      </c>
      <c r="V59" s="19"/>
      <c r="W59" s="19">
        <v>11.6</v>
      </c>
      <c r="X59" s="19">
        <v>31.5</v>
      </c>
      <c r="Y59" s="36"/>
      <c r="Z59" s="18">
        <v>3.2</v>
      </c>
      <c r="AA59" s="18"/>
      <c r="AB59" s="18"/>
      <c r="AC59" s="11"/>
      <c r="AD59" s="11"/>
    </row>
    <row r="60" spans="1:30" x14ac:dyDescent="0.3">
      <c r="A60" s="7"/>
      <c r="B60" s="8"/>
      <c r="C60" s="18" t="s">
        <v>138</v>
      </c>
      <c r="D60" s="18" t="s">
        <v>29</v>
      </c>
      <c r="E60" s="18" t="s">
        <v>30</v>
      </c>
      <c r="F60" s="18" t="s">
        <v>139</v>
      </c>
      <c r="G60" s="18" t="s">
        <v>120</v>
      </c>
      <c r="H60" s="18">
        <v>27</v>
      </c>
      <c r="I60" s="18" t="s">
        <v>121</v>
      </c>
      <c r="J60" s="19">
        <v>1.3692307692307599</v>
      </c>
      <c r="K60" s="18"/>
      <c r="L60" s="18"/>
      <c r="M60" s="18"/>
      <c r="N60" s="18"/>
      <c r="O60" s="18"/>
      <c r="P60" s="19">
        <f t="shared" si="21"/>
        <v>1</v>
      </c>
      <c r="Q60" s="35">
        <f t="shared" si="18"/>
        <v>13.599999999999998</v>
      </c>
      <c r="R60" s="19">
        <f t="shared" si="19"/>
        <v>14.599999999999998</v>
      </c>
      <c r="S60" s="19">
        <f t="shared" si="20"/>
        <v>14.099999999999998</v>
      </c>
      <c r="T60" s="19">
        <v>8.9</v>
      </c>
      <c r="U60" s="19">
        <v>-19.8</v>
      </c>
      <c r="V60" s="19">
        <v>12.5</v>
      </c>
      <c r="W60" s="19">
        <v>14.9</v>
      </c>
      <c r="X60" s="19">
        <v>42.9</v>
      </c>
      <c r="Y60" s="36">
        <v>0.18</v>
      </c>
      <c r="Z60" s="18">
        <v>3.4</v>
      </c>
      <c r="AA60" s="18">
        <v>633</v>
      </c>
      <c r="AB60" s="18">
        <v>189</v>
      </c>
      <c r="AC60" s="11"/>
      <c r="AD60" s="11"/>
    </row>
    <row r="61" spans="1:30" x14ac:dyDescent="0.3">
      <c r="A61" s="7"/>
      <c r="B61" s="8" t="s">
        <v>88</v>
      </c>
      <c r="C61" s="22" t="s">
        <v>140</v>
      </c>
      <c r="D61" s="22" t="s">
        <v>29</v>
      </c>
      <c r="E61" s="22" t="s">
        <v>30</v>
      </c>
      <c r="F61" s="22" t="s">
        <v>141</v>
      </c>
      <c r="G61" s="22" t="s">
        <v>120</v>
      </c>
      <c r="H61" s="22">
        <v>27</v>
      </c>
      <c r="I61" s="22" t="s">
        <v>121</v>
      </c>
      <c r="J61" s="23">
        <v>1.3692307692307599</v>
      </c>
      <c r="K61" s="23">
        <f>SUM(J61:J62)</f>
        <v>2.7384615384615199</v>
      </c>
      <c r="L61" s="22"/>
      <c r="M61" s="22"/>
      <c r="N61" s="22">
        <f>16.5-14.5</f>
        <v>2</v>
      </c>
      <c r="O61" s="23">
        <f>N61/K61</f>
        <v>0.7303370786516904</v>
      </c>
      <c r="P61" s="23">
        <f>$O$61*J61</f>
        <v>1</v>
      </c>
      <c r="Q61" s="38">
        <f t="shared" si="18"/>
        <v>14.609999999999998</v>
      </c>
      <c r="R61" s="23">
        <f t="shared" si="19"/>
        <v>15.609999999999998</v>
      </c>
      <c r="S61" s="23">
        <f t="shared" si="20"/>
        <v>15.109999999999998</v>
      </c>
      <c r="T61" s="23">
        <v>9.1</v>
      </c>
      <c r="U61" s="23">
        <v>-20.3</v>
      </c>
      <c r="V61" s="23">
        <v>11.2</v>
      </c>
      <c r="W61" s="23">
        <v>13.6</v>
      </c>
      <c r="X61" s="23">
        <v>37.799999999999997</v>
      </c>
      <c r="Y61" s="39">
        <v>0.16</v>
      </c>
      <c r="Z61" s="22">
        <v>3.2</v>
      </c>
      <c r="AA61" s="22">
        <v>625</v>
      </c>
      <c r="AB61" s="22">
        <v>193</v>
      </c>
      <c r="AC61" s="11"/>
      <c r="AD61" s="11"/>
    </row>
    <row r="62" spans="1:30" x14ac:dyDescent="0.3">
      <c r="A62" s="7"/>
      <c r="B62" s="8"/>
      <c r="C62" s="22" t="s">
        <v>142</v>
      </c>
      <c r="D62" s="22" t="s">
        <v>29</v>
      </c>
      <c r="E62" s="22" t="s">
        <v>30</v>
      </c>
      <c r="F62" s="22" t="s">
        <v>143</v>
      </c>
      <c r="G62" s="22" t="s">
        <v>120</v>
      </c>
      <c r="H62" s="22">
        <v>27</v>
      </c>
      <c r="I62" s="22" t="s">
        <v>121</v>
      </c>
      <c r="J62" s="23">
        <v>1.3692307692307599</v>
      </c>
      <c r="K62" s="22"/>
      <c r="L62" s="22"/>
      <c r="M62" s="22"/>
      <c r="N62" s="22"/>
      <c r="O62" s="23"/>
      <c r="P62" s="23">
        <f>$O$61*J62</f>
        <v>1</v>
      </c>
      <c r="Q62" s="38">
        <f t="shared" si="18"/>
        <v>15.619999999999997</v>
      </c>
      <c r="R62" s="23">
        <f>P62+Q62</f>
        <v>16.619999999999997</v>
      </c>
      <c r="S62" s="23">
        <f t="shared" si="20"/>
        <v>16.119999999999997</v>
      </c>
      <c r="T62" s="23">
        <v>9.5</v>
      </c>
      <c r="U62" s="23">
        <v>-21.6</v>
      </c>
      <c r="V62" s="23"/>
      <c r="W62" s="23">
        <v>3.7</v>
      </c>
      <c r="X62" s="23">
        <v>10.4</v>
      </c>
      <c r="Y62" s="39"/>
      <c r="Z62" s="22">
        <v>3.3</v>
      </c>
      <c r="AA62" s="22"/>
      <c r="AB62" s="22"/>
      <c r="AC62" s="11"/>
      <c r="AD62" s="11"/>
    </row>
    <row r="64" spans="1:30" ht="72" x14ac:dyDescent="0.3">
      <c r="C64" s="1" t="s">
        <v>0</v>
      </c>
      <c r="D64" s="1" t="s">
        <v>1</v>
      </c>
      <c r="E64" s="1" t="s">
        <v>2</v>
      </c>
      <c r="F64" s="1" t="s">
        <v>3</v>
      </c>
      <c r="G64" s="1" t="s">
        <v>4</v>
      </c>
      <c r="H64" s="1" t="s">
        <v>5</v>
      </c>
      <c r="I64" s="1" t="s">
        <v>6</v>
      </c>
      <c r="J64" s="1" t="s">
        <v>7</v>
      </c>
      <c r="K64" s="1" t="s">
        <v>8</v>
      </c>
      <c r="L64" s="1" t="s">
        <v>9</v>
      </c>
      <c r="M64" s="1" t="s">
        <v>10</v>
      </c>
      <c r="N64" s="1" t="s">
        <v>70</v>
      </c>
      <c r="O64" s="1" t="s">
        <v>12</v>
      </c>
      <c r="P64" s="1" t="s">
        <v>13</v>
      </c>
      <c r="Q64" s="1" t="s">
        <v>14</v>
      </c>
      <c r="R64" s="1" t="s">
        <v>15</v>
      </c>
      <c r="S64" s="1" t="s">
        <v>16</v>
      </c>
      <c r="T64" s="2" t="s">
        <v>17</v>
      </c>
      <c r="U64" s="2" t="s">
        <v>18</v>
      </c>
      <c r="V64" s="2" t="s">
        <v>19</v>
      </c>
      <c r="W64" s="2" t="s">
        <v>20</v>
      </c>
      <c r="X64" s="2" t="s">
        <v>21</v>
      </c>
      <c r="Y64" s="3" t="s">
        <v>22</v>
      </c>
      <c r="Z64" s="1" t="s">
        <v>23</v>
      </c>
      <c r="AA64" s="1" t="s">
        <v>24</v>
      </c>
      <c r="AB64" s="1" t="s">
        <v>25</v>
      </c>
      <c r="AC64" s="12"/>
      <c r="AD64" s="12"/>
    </row>
    <row r="65" spans="1:30" x14ac:dyDescent="0.3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2"/>
      <c r="U65" s="2"/>
      <c r="V65" s="2"/>
      <c r="W65" s="2"/>
      <c r="X65" s="2"/>
      <c r="Y65" s="3"/>
      <c r="Z65" s="1"/>
      <c r="AA65" s="1"/>
      <c r="AB65" s="1"/>
      <c r="AC65" s="12"/>
      <c r="AD65" s="12"/>
    </row>
    <row r="66" spans="1:30" x14ac:dyDescent="0.3">
      <c r="A66" s="7" t="s">
        <v>144</v>
      </c>
      <c r="B66" s="8" t="s">
        <v>145</v>
      </c>
      <c r="C66" s="43"/>
      <c r="D66" s="43"/>
      <c r="E66" s="43"/>
      <c r="F66" s="9" t="s">
        <v>146</v>
      </c>
      <c r="G66" s="9" t="s">
        <v>147</v>
      </c>
      <c r="H66" s="9">
        <v>23</v>
      </c>
      <c r="I66" s="9" t="s">
        <v>148</v>
      </c>
      <c r="J66" s="14">
        <v>1</v>
      </c>
      <c r="K66" s="30">
        <f>SUM(J66:J73)</f>
        <v>10.66</v>
      </c>
      <c r="L66" s="43"/>
      <c r="M66" s="44"/>
      <c r="N66" s="44">
        <f>5.5-0.6</f>
        <v>4.9000000000000004</v>
      </c>
      <c r="O66" s="44">
        <f>N66/K66</f>
        <v>0.45966228893058164</v>
      </c>
      <c r="P66" s="44">
        <f t="shared" ref="P66:P73" si="22">$O$66*J66</f>
        <v>0.45966228893058164</v>
      </c>
      <c r="Q66" s="30">
        <v>0.6</v>
      </c>
      <c r="R66" s="30">
        <f>P66+Q65</f>
        <v>0.45966228893058164</v>
      </c>
      <c r="S66" s="30">
        <f t="shared" ref="S66:S79" si="23">AVERAGE(Q66:R66)</f>
        <v>0.52983114446529078</v>
      </c>
      <c r="T66" s="44"/>
      <c r="U66" s="44"/>
      <c r="V66" s="44"/>
      <c r="W66" s="44"/>
      <c r="X66" s="44"/>
      <c r="Y66" s="45"/>
      <c r="Z66" s="43"/>
      <c r="AA66" s="43"/>
      <c r="AB66" s="43"/>
    </row>
    <row r="67" spans="1:30" x14ac:dyDescent="0.3">
      <c r="A67" s="7"/>
      <c r="B67" s="8"/>
      <c r="C67" s="43"/>
      <c r="D67" s="43"/>
      <c r="E67" s="43"/>
      <c r="F67" s="9" t="s">
        <v>149</v>
      </c>
      <c r="G67" s="9" t="s">
        <v>147</v>
      </c>
      <c r="H67" s="9">
        <v>23</v>
      </c>
      <c r="I67" s="9" t="s">
        <v>148</v>
      </c>
      <c r="J67" s="14">
        <v>1</v>
      </c>
      <c r="K67" s="14"/>
      <c r="L67" s="43"/>
      <c r="M67" s="44"/>
      <c r="N67" s="44"/>
      <c r="O67" s="44"/>
      <c r="P67" s="44">
        <f t="shared" si="22"/>
        <v>0.45966228893058164</v>
      </c>
      <c r="Q67" s="30">
        <f t="shared" ref="Q67:Q79" si="24">R66+0.01</f>
        <v>0.46966228893058165</v>
      </c>
      <c r="R67" s="30">
        <f t="shared" ref="R67:R73" si="25">P67+Q67</f>
        <v>0.92932457786116329</v>
      </c>
      <c r="S67" s="30">
        <f t="shared" si="23"/>
        <v>0.69949343339587244</v>
      </c>
      <c r="T67" s="44"/>
      <c r="U67" s="44"/>
      <c r="V67" s="44"/>
      <c r="W67" s="44"/>
      <c r="X67" s="44"/>
      <c r="Y67" s="45"/>
      <c r="Z67" s="43"/>
      <c r="AA67" s="43"/>
      <c r="AB67" s="43"/>
    </row>
    <row r="68" spans="1:30" x14ac:dyDescent="0.3">
      <c r="A68" s="7"/>
      <c r="B68" s="8"/>
      <c r="C68" s="9" t="s">
        <v>150</v>
      </c>
      <c r="D68" s="9" t="s">
        <v>29</v>
      </c>
      <c r="E68" s="9" t="s">
        <v>30</v>
      </c>
      <c r="F68" s="9" t="s">
        <v>151</v>
      </c>
      <c r="G68" s="9" t="s">
        <v>147</v>
      </c>
      <c r="H68" s="9">
        <v>23</v>
      </c>
      <c r="I68" s="9" t="s">
        <v>148</v>
      </c>
      <c r="J68" s="30">
        <v>1.86</v>
      </c>
      <c r="K68" s="30"/>
      <c r="L68" s="9"/>
      <c r="M68" s="9"/>
      <c r="N68" s="9"/>
      <c r="O68" s="9"/>
      <c r="P68" s="10">
        <f t="shared" si="22"/>
        <v>0.85497185741088189</v>
      </c>
      <c r="Q68" s="30">
        <f t="shared" si="24"/>
        <v>0.9393245778611633</v>
      </c>
      <c r="R68" s="30">
        <f t="shared" si="25"/>
        <v>1.7942964352720452</v>
      </c>
      <c r="S68" s="30">
        <f t="shared" si="23"/>
        <v>1.3668105065666043</v>
      </c>
      <c r="T68" s="10">
        <v>8.3000000000000007</v>
      </c>
      <c r="U68" s="10">
        <v>-20</v>
      </c>
      <c r="V68" s="10">
        <v>2.5</v>
      </c>
      <c r="W68" s="10">
        <v>14.9</v>
      </c>
      <c r="X68" s="10">
        <v>42</v>
      </c>
      <c r="Y68" s="31">
        <v>0.21</v>
      </c>
      <c r="Z68" s="9">
        <v>3.3</v>
      </c>
      <c r="AA68" s="9">
        <v>530</v>
      </c>
      <c r="AB68" s="9">
        <v>161</v>
      </c>
    </row>
    <row r="69" spans="1:30" x14ac:dyDescent="0.3">
      <c r="A69" s="7"/>
      <c r="B69" s="8"/>
      <c r="C69" s="9" t="s">
        <v>152</v>
      </c>
      <c r="D69" s="9" t="s">
        <v>29</v>
      </c>
      <c r="E69" s="9" t="s">
        <v>30</v>
      </c>
      <c r="F69" s="9" t="s">
        <v>153</v>
      </c>
      <c r="G69" s="9" t="s">
        <v>147</v>
      </c>
      <c r="H69" s="9">
        <v>23</v>
      </c>
      <c r="I69" s="9" t="s">
        <v>148</v>
      </c>
      <c r="J69" s="30">
        <v>1.36</v>
      </c>
      <c r="K69" s="30"/>
      <c r="L69" s="14"/>
      <c r="M69" s="14"/>
      <c r="N69" s="14"/>
      <c r="O69" s="14"/>
      <c r="P69" s="30">
        <f t="shared" si="22"/>
        <v>0.62514071294559104</v>
      </c>
      <c r="Q69" s="30">
        <f t="shared" si="24"/>
        <v>1.8042964352720452</v>
      </c>
      <c r="R69" s="30">
        <f t="shared" si="25"/>
        <v>2.4294371482176365</v>
      </c>
      <c r="S69" s="30">
        <f t="shared" si="23"/>
        <v>2.1168667917448407</v>
      </c>
      <c r="T69" s="10">
        <v>8.1</v>
      </c>
      <c r="U69" s="10">
        <v>-20</v>
      </c>
      <c r="V69" s="10">
        <v>2.1</v>
      </c>
      <c r="W69" s="10">
        <v>14.8</v>
      </c>
      <c r="X69" s="10">
        <v>43.1</v>
      </c>
      <c r="Y69" s="31">
        <v>0.19</v>
      </c>
      <c r="Z69" s="9">
        <v>3.4</v>
      </c>
      <c r="AA69" s="9">
        <v>597</v>
      </c>
      <c r="AB69" s="9">
        <v>175</v>
      </c>
    </row>
    <row r="70" spans="1:30" x14ac:dyDescent="0.3">
      <c r="A70" s="7"/>
      <c r="B70" s="8"/>
      <c r="C70" s="9" t="s">
        <v>154</v>
      </c>
      <c r="D70" s="9" t="s">
        <v>29</v>
      </c>
      <c r="E70" s="9" t="s">
        <v>30</v>
      </c>
      <c r="F70" s="9" t="s">
        <v>155</v>
      </c>
      <c r="G70" s="9" t="s">
        <v>147</v>
      </c>
      <c r="H70" s="9">
        <v>23</v>
      </c>
      <c r="I70" s="9" t="s">
        <v>148</v>
      </c>
      <c r="J70" s="30">
        <v>1.36</v>
      </c>
      <c r="K70" s="30"/>
      <c r="L70" s="14"/>
      <c r="M70" s="14"/>
      <c r="N70" s="14"/>
      <c r="O70" s="14"/>
      <c r="P70" s="30">
        <f t="shared" si="22"/>
        <v>0.62514071294559104</v>
      </c>
      <c r="Q70" s="30">
        <f t="shared" si="24"/>
        <v>2.4394371482176362</v>
      </c>
      <c r="R70" s="30">
        <f t="shared" si="25"/>
        <v>3.0645778611632273</v>
      </c>
      <c r="S70" s="30">
        <f t="shared" si="23"/>
        <v>2.7520075046904315</v>
      </c>
      <c r="T70" s="10">
        <v>8.1999999999999993</v>
      </c>
      <c r="U70" s="10">
        <v>-20.399999999999999</v>
      </c>
      <c r="V70" s="10">
        <v>2.7</v>
      </c>
      <c r="W70" s="10">
        <v>14.4</v>
      </c>
      <c r="X70" s="10">
        <v>41.6</v>
      </c>
      <c r="Y70" s="31">
        <v>0.19</v>
      </c>
      <c r="Z70" s="9">
        <v>3.4</v>
      </c>
      <c r="AA70" s="9">
        <v>582</v>
      </c>
      <c r="AB70" s="9">
        <v>173</v>
      </c>
    </row>
    <row r="71" spans="1:30" x14ac:dyDescent="0.3">
      <c r="A71" s="7"/>
      <c r="B71" s="8"/>
      <c r="C71" s="9" t="s">
        <v>156</v>
      </c>
      <c r="D71" s="9" t="s">
        <v>29</v>
      </c>
      <c r="E71" s="9" t="s">
        <v>30</v>
      </c>
      <c r="F71" s="9" t="s">
        <v>157</v>
      </c>
      <c r="G71" s="9" t="s">
        <v>147</v>
      </c>
      <c r="H71" s="9">
        <v>23</v>
      </c>
      <c r="I71" s="9" t="s">
        <v>148</v>
      </c>
      <c r="J71" s="30">
        <v>1.36</v>
      </c>
      <c r="K71" s="30"/>
      <c r="L71" s="14"/>
      <c r="M71" s="14"/>
      <c r="N71" s="14"/>
      <c r="O71" s="14"/>
      <c r="P71" s="30">
        <f t="shared" si="22"/>
        <v>0.62514071294559104</v>
      </c>
      <c r="Q71" s="30">
        <f t="shared" si="24"/>
        <v>3.0745778611632271</v>
      </c>
      <c r="R71" s="30">
        <f t="shared" si="25"/>
        <v>3.6997185741088181</v>
      </c>
      <c r="S71" s="30">
        <f t="shared" si="23"/>
        <v>3.3871482176360228</v>
      </c>
      <c r="T71" s="10">
        <v>8.4</v>
      </c>
      <c r="U71" s="10">
        <v>-20.5</v>
      </c>
      <c r="V71" s="10">
        <v>1.9</v>
      </c>
      <c r="W71" s="10">
        <v>14.5</v>
      </c>
      <c r="X71" s="10">
        <v>40.9</v>
      </c>
      <c r="Y71" s="31">
        <v>0.18</v>
      </c>
      <c r="Z71" s="9">
        <v>3.3</v>
      </c>
      <c r="AA71" s="9">
        <v>591</v>
      </c>
      <c r="AB71" s="9">
        <v>179</v>
      </c>
    </row>
    <row r="72" spans="1:30" x14ac:dyDescent="0.3">
      <c r="A72" s="7"/>
      <c r="B72" s="8"/>
      <c r="C72" s="9" t="s">
        <v>158</v>
      </c>
      <c r="D72" s="9" t="s">
        <v>29</v>
      </c>
      <c r="E72" s="9" t="s">
        <v>30</v>
      </c>
      <c r="F72" s="9" t="s">
        <v>159</v>
      </c>
      <c r="G72" s="9" t="s">
        <v>147</v>
      </c>
      <c r="H72" s="9">
        <v>23</v>
      </c>
      <c r="I72" s="9" t="s">
        <v>148</v>
      </c>
      <c r="J72" s="30">
        <v>1.36</v>
      </c>
      <c r="K72" s="30"/>
      <c r="L72" s="14"/>
      <c r="M72" s="14"/>
      <c r="N72" s="14"/>
      <c r="O72" s="14"/>
      <c r="P72" s="30">
        <f t="shared" si="22"/>
        <v>0.62514071294559104</v>
      </c>
      <c r="Q72" s="30">
        <f t="shared" si="24"/>
        <v>3.7097185741088179</v>
      </c>
      <c r="R72" s="30">
        <f t="shared" si="25"/>
        <v>4.3348592870544085</v>
      </c>
      <c r="S72" s="30">
        <f t="shared" si="23"/>
        <v>4.0222889305816132</v>
      </c>
      <c r="T72" s="10">
        <v>8.1</v>
      </c>
      <c r="U72" s="10">
        <v>-20.399999999999999</v>
      </c>
      <c r="V72" s="10">
        <v>4.7</v>
      </c>
      <c r="W72" s="10">
        <v>16.2</v>
      </c>
      <c r="X72" s="10">
        <v>46.8</v>
      </c>
      <c r="Y72" s="31">
        <v>0.22</v>
      </c>
      <c r="Z72" s="9">
        <v>3.4</v>
      </c>
      <c r="AA72" s="9">
        <v>562</v>
      </c>
      <c r="AB72" s="9">
        <v>167</v>
      </c>
    </row>
    <row r="73" spans="1:30" x14ac:dyDescent="0.3">
      <c r="A73" s="7"/>
      <c r="B73" s="8"/>
      <c r="C73" s="9" t="s">
        <v>160</v>
      </c>
      <c r="D73" s="9" t="s">
        <v>29</v>
      </c>
      <c r="E73" s="9" t="s">
        <v>30</v>
      </c>
      <c r="F73" s="9" t="s">
        <v>161</v>
      </c>
      <c r="G73" s="9" t="s">
        <v>147</v>
      </c>
      <c r="H73" s="9">
        <v>23</v>
      </c>
      <c r="I73" s="9" t="s">
        <v>148</v>
      </c>
      <c r="J73" s="30">
        <v>1.36</v>
      </c>
      <c r="K73" s="30"/>
      <c r="L73" s="14"/>
      <c r="M73" s="14"/>
      <c r="N73" s="14"/>
      <c r="O73" s="14"/>
      <c r="P73" s="30">
        <f t="shared" si="22"/>
        <v>0.62514071294559104</v>
      </c>
      <c r="Q73" s="30">
        <f t="shared" si="24"/>
        <v>4.3448592870544083</v>
      </c>
      <c r="R73" s="30">
        <f t="shared" si="25"/>
        <v>4.9699999999999989</v>
      </c>
      <c r="S73" s="30">
        <f t="shared" si="23"/>
        <v>4.6574296435272036</v>
      </c>
      <c r="T73" s="10">
        <v>8.3000000000000007</v>
      </c>
      <c r="U73" s="10">
        <v>-20.399999999999999</v>
      </c>
      <c r="V73" s="10">
        <v>3.9</v>
      </c>
      <c r="W73" s="10">
        <v>13.5</v>
      </c>
      <c r="X73" s="10">
        <v>38</v>
      </c>
      <c r="Y73" s="31">
        <v>0.17</v>
      </c>
      <c r="Z73" s="9">
        <v>3.3</v>
      </c>
      <c r="AA73" s="9">
        <v>612</v>
      </c>
      <c r="AB73" s="9">
        <v>187</v>
      </c>
    </row>
    <row r="74" spans="1:30" x14ac:dyDescent="0.3">
      <c r="A74" s="7"/>
      <c r="B74" s="40" t="s">
        <v>162</v>
      </c>
      <c r="C74" s="15" t="s">
        <v>163</v>
      </c>
      <c r="D74" s="15" t="s">
        <v>29</v>
      </c>
      <c r="E74" s="15" t="s">
        <v>30</v>
      </c>
      <c r="F74" s="15" t="s">
        <v>164</v>
      </c>
      <c r="G74" s="15" t="s">
        <v>147</v>
      </c>
      <c r="H74" s="15">
        <v>23</v>
      </c>
      <c r="I74" s="15" t="s">
        <v>148</v>
      </c>
      <c r="J74" s="32">
        <v>1.86</v>
      </c>
      <c r="K74" s="32">
        <f>J74</f>
        <v>1.86</v>
      </c>
      <c r="L74" s="46"/>
      <c r="M74" s="46"/>
      <c r="N74" s="46">
        <f>7.5-5.5</f>
        <v>2</v>
      </c>
      <c r="O74" s="32">
        <f>N74/J74</f>
        <v>1.075268817204301</v>
      </c>
      <c r="P74" s="46">
        <f>$O$74*J74</f>
        <v>2</v>
      </c>
      <c r="Q74" s="32">
        <f t="shared" si="24"/>
        <v>4.9799999999999986</v>
      </c>
      <c r="R74" s="32">
        <f>Q74+N74</f>
        <v>6.9799999999999986</v>
      </c>
      <c r="S74" s="32">
        <f t="shared" si="23"/>
        <v>5.9799999999999986</v>
      </c>
      <c r="T74" s="16">
        <v>8.1999999999999993</v>
      </c>
      <c r="U74" s="16">
        <v>-20.100000000000001</v>
      </c>
      <c r="V74" s="16">
        <v>3.1</v>
      </c>
      <c r="W74" s="16">
        <v>15.6</v>
      </c>
      <c r="X74" s="16">
        <v>43.8</v>
      </c>
      <c r="Y74" s="33">
        <v>0.19</v>
      </c>
      <c r="Z74" s="15">
        <v>3.3</v>
      </c>
      <c r="AA74" s="15">
        <v>623</v>
      </c>
      <c r="AB74" s="15">
        <v>190</v>
      </c>
    </row>
    <row r="75" spans="1:30" x14ac:dyDescent="0.3">
      <c r="A75" s="7"/>
      <c r="B75" s="8" t="s">
        <v>85</v>
      </c>
      <c r="C75" s="18" t="s">
        <v>165</v>
      </c>
      <c r="D75" s="18" t="s">
        <v>29</v>
      </c>
      <c r="E75" s="18" t="s">
        <v>30</v>
      </c>
      <c r="F75" s="18" t="s">
        <v>166</v>
      </c>
      <c r="G75" s="18" t="s">
        <v>147</v>
      </c>
      <c r="H75" s="18">
        <v>23</v>
      </c>
      <c r="I75" s="18" t="s">
        <v>148</v>
      </c>
      <c r="J75" s="35">
        <v>2.72</v>
      </c>
      <c r="K75" s="35">
        <f>SUM(J75:J78)</f>
        <v>6.8000000000000007</v>
      </c>
      <c r="L75" s="21"/>
      <c r="M75" s="21"/>
      <c r="N75" s="35">
        <f>12.5-7.5</f>
        <v>5</v>
      </c>
      <c r="O75" s="35">
        <f>N75/K75</f>
        <v>0.73529411764705876</v>
      </c>
      <c r="P75" s="35">
        <f>$O$74*J75</f>
        <v>2.924731182795699</v>
      </c>
      <c r="Q75" s="35">
        <f t="shared" si="24"/>
        <v>6.9899999999999984</v>
      </c>
      <c r="R75" s="35">
        <f>Q75+P75</f>
        <v>9.9147311827956983</v>
      </c>
      <c r="S75" s="35">
        <f t="shared" si="23"/>
        <v>8.4523655913978484</v>
      </c>
      <c r="T75" s="19">
        <v>7.9</v>
      </c>
      <c r="U75" s="19">
        <v>-20.100000000000001</v>
      </c>
      <c r="V75" s="19">
        <v>3.7</v>
      </c>
      <c r="W75" s="19">
        <v>17.100000000000001</v>
      </c>
      <c r="X75" s="19">
        <v>48.3</v>
      </c>
      <c r="Y75" s="36">
        <v>0.2</v>
      </c>
      <c r="Z75" s="18">
        <v>3.3</v>
      </c>
      <c r="AA75" s="18">
        <v>637</v>
      </c>
      <c r="AB75" s="18">
        <v>193</v>
      </c>
    </row>
    <row r="76" spans="1:30" x14ac:dyDescent="0.3">
      <c r="A76" s="7"/>
      <c r="B76" s="8"/>
      <c r="C76" s="18" t="s">
        <v>167</v>
      </c>
      <c r="D76" s="18" t="s">
        <v>29</v>
      </c>
      <c r="E76" s="18" t="s">
        <v>30</v>
      </c>
      <c r="F76" s="18" t="s">
        <v>168</v>
      </c>
      <c r="G76" s="18" t="s">
        <v>147</v>
      </c>
      <c r="H76" s="18">
        <v>23</v>
      </c>
      <c r="I76" s="18" t="s">
        <v>148</v>
      </c>
      <c r="J76" s="35">
        <v>1.36</v>
      </c>
      <c r="K76" s="35"/>
      <c r="L76" s="21"/>
      <c r="M76" s="21"/>
      <c r="N76" s="21"/>
      <c r="O76" s="21"/>
      <c r="P76" s="35">
        <f>$O$74*J76</f>
        <v>1.4623655913978495</v>
      </c>
      <c r="Q76" s="35">
        <f t="shared" si="24"/>
        <v>9.9247311827956981</v>
      </c>
      <c r="R76" s="35">
        <f>Q76+P76</f>
        <v>11.387096774193548</v>
      </c>
      <c r="S76" s="35">
        <f t="shared" si="23"/>
        <v>10.655913978494624</v>
      </c>
      <c r="T76" s="19">
        <v>7.7</v>
      </c>
      <c r="U76" s="19">
        <v>-20.2</v>
      </c>
      <c r="V76" s="19">
        <v>2.2000000000000002</v>
      </c>
      <c r="W76" s="19">
        <v>16.3</v>
      </c>
      <c r="X76" s="19">
        <v>46.1</v>
      </c>
      <c r="Y76" s="36">
        <v>0.22</v>
      </c>
      <c r="Z76" s="18">
        <v>3.3</v>
      </c>
      <c r="AA76" s="18">
        <v>570</v>
      </c>
      <c r="AB76" s="18">
        <v>173</v>
      </c>
    </row>
    <row r="77" spans="1:30" x14ac:dyDescent="0.3">
      <c r="A77" s="7"/>
      <c r="B77" s="8"/>
      <c r="C77" s="18" t="s">
        <v>169</v>
      </c>
      <c r="D77" s="18" t="s">
        <v>29</v>
      </c>
      <c r="E77" s="18" t="s">
        <v>30</v>
      </c>
      <c r="F77" s="18" t="s">
        <v>170</v>
      </c>
      <c r="G77" s="18" t="s">
        <v>147</v>
      </c>
      <c r="H77" s="18">
        <v>23</v>
      </c>
      <c r="I77" s="18" t="s">
        <v>148</v>
      </c>
      <c r="J77" s="35">
        <v>1.36</v>
      </c>
      <c r="K77" s="35"/>
      <c r="L77" s="21"/>
      <c r="M77" s="21"/>
      <c r="N77" s="21"/>
      <c r="O77" s="21"/>
      <c r="P77" s="35">
        <f>$O$74*J77</f>
        <v>1.4623655913978495</v>
      </c>
      <c r="Q77" s="35">
        <f t="shared" si="24"/>
        <v>11.397096774193548</v>
      </c>
      <c r="R77" s="35">
        <f>Q77+P77</f>
        <v>12.859462365591398</v>
      </c>
      <c r="S77" s="35">
        <f t="shared" si="23"/>
        <v>12.128279569892474</v>
      </c>
      <c r="T77" s="19">
        <v>7.9</v>
      </c>
      <c r="U77" s="19">
        <v>-20.100000000000001</v>
      </c>
      <c r="V77" s="19">
        <v>2.8</v>
      </c>
      <c r="W77" s="19">
        <v>13.4</v>
      </c>
      <c r="X77" s="19">
        <v>38.299999999999997</v>
      </c>
      <c r="Y77" s="36">
        <v>0.18</v>
      </c>
      <c r="Z77" s="18">
        <v>3.3</v>
      </c>
      <c r="AA77" s="18">
        <v>583</v>
      </c>
      <c r="AB77" s="18">
        <v>175</v>
      </c>
    </row>
    <row r="78" spans="1:30" x14ac:dyDescent="0.3">
      <c r="A78" s="7"/>
      <c r="B78" s="8"/>
      <c r="C78" s="18" t="s">
        <v>171</v>
      </c>
      <c r="D78" s="18" t="s">
        <v>29</v>
      </c>
      <c r="E78" s="18" t="s">
        <v>30</v>
      </c>
      <c r="F78" s="18" t="s">
        <v>172</v>
      </c>
      <c r="G78" s="18" t="s">
        <v>147</v>
      </c>
      <c r="H78" s="18">
        <v>23</v>
      </c>
      <c r="I78" s="18" t="s">
        <v>148</v>
      </c>
      <c r="J78" s="35">
        <v>1.36</v>
      </c>
      <c r="K78" s="35"/>
      <c r="L78" s="21"/>
      <c r="M78" s="21"/>
      <c r="N78" s="21"/>
      <c r="O78" s="21"/>
      <c r="P78" s="35">
        <f>$O$74*J78</f>
        <v>1.4623655913978495</v>
      </c>
      <c r="Q78" s="35">
        <f t="shared" si="24"/>
        <v>12.869462365591398</v>
      </c>
      <c r="R78" s="35">
        <f>Q78+P78</f>
        <v>14.331827956989247</v>
      </c>
      <c r="S78" s="35">
        <f t="shared" si="23"/>
        <v>13.600645161290323</v>
      </c>
      <c r="T78" s="19">
        <v>7.8</v>
      </c>
      <c r="U78" s="19">
        <v>-20.2</v>
      </c>
      <c r="V78" s="19">
        <v>3</v>
      </c>
      <c r="W78" s="19">
        <v>13</v>
      </c>
      <c r="X78" s="19">
        <v>37</v>
      </c>
      <c r="Y78" s="36">
        <v>0.2</v>
      </c>
      <c r="Z78" s="18">
        <v>3.3</v>
      </c>
      <c r="AA78" s="18">
        <v>506</v>
      </c>
      <c r="AB78" s="18">
        <v>153</v>
      </c>
    </row>
    <row r="79" spans="1:30" x14ac:dyDescent="0.3">
      <c r="A79" s="7"/>
      <c r="B79" s="40" t="s">
        <v>88</v>
      </c>
      <c r="C79" s="22" t="s">
        <v>173</v>
      </c>
      <c r="D79" s="22" t="s">
        <v>29</v>
      </c>
      <c r="E79" s="22" t="s">
        <v>30</v>
      </c>
      <c r="F79" s="22" t="s">
        <v>174</v>
      </c>
      <c r="G79" s="22" t="s">
        <v>147</v>
      </c>
      <c r="H79" s="22">
        <v>23</v>
      </c>
      <c r="I79" s="22" t="s">
        <v>148</v>
      </c>
      <c r="J79" s="38">
        <v>2.72</v>
      </c>
      <c r="K79" s="38">
        <f>J79</f>
        <v>2.72</v>
      </c>
      <c r="L79" s="47"/>
      <c r="M79" s="47"/>
      <c r="N79" s="47">
        <f>15.5-12.5</f>
        <v>3</v>
      </c>
      <c r="O79" s="38">
        <f>N79/J79</f>
        <v>1.1029411764705881</v>
      </c>
      <c r="P79" s="47">
        <f>O79*J79</f>
        <v>3</v>
      </c>
      <c r="Q79" s="38">
        <f t="shared" si="24"/>
        <v>14.341827956989247</v>
      </c>
      <c r="R79" s="38">
        <f>Q79+P79</f>
        <v>17.341827956989249</v>
      </c>
      <c r="S79" s="38">
        <f t="shared" si="23"/>
        <v>15.841827956989249</v>
      </c>
      <c r="T79" s="23">
        <v>8.1</v>
      </c>
      <c r="U79" s="23">
        <v>-20.5</v>
      </c>
      <c r="V79" s="23">
        <v>1.8</v>
      </c>
      <c r="W79" s="23">
        <v>13.6</v>
      </c>
      <c r="X79" s="23">
        <v>38.4</v>
      </c>
      <c r="Y79" s="39">
        <v>0.2</v>
      </c>
      <c r="Z79" s="22">
        <v>3.3</v>
      </c>
      <c r="AA79" s="22">
        <v>515</v>
      </c>
      <c r="AB79" s="22">
        <v>157</v>
      </c>
    </row>
    <row r="81" spans="1:30" ht="72" x14ac:dyDescent="0.3">
      <c r="C81" s="1" t="s">
        <v>0</v>
      </c>
      <c r="D81" s="1" t="s">
        <v>1</v>
      </c>
      <c r="E81" s="1" t="s">
        <v>2</v>
      </c>
      <c r="F81" s="1" t="s">
        <v>3</v>
      </c>
      <c r="G81" s="1" t="s">
        <v>4</v>
      </c>
      <c r="H81" s="1" t="s">
        <v>5</v>
      </c>
      <c r="I81" s="1" t="s">
        <v>6</v>
      </c>
      <c r="J81" s="1" t="s">
        <v>7</v>
      </c>
      <c r="K81" s="1" t="s">
        <v>8</v>
      </c>
      <c r="L81" s="1" t="s">
        <v>9</v>
      </c>
      <c r="M81" s="1" t="s">
        <v>10</v>
      </c>
      <c r="N81" s="1" t="s">
        <v>70</v>
      </c>
      <c r="O81" s="1" t="s">
        <v>12</v>
      </c>
      <c r="P81" s="1" t="s">
        <v>13</v>
      </c>
      <c r="Q81" s="1" t="s">
        <v>14</v>
      </c>
      <c r="R81" s="1" t="s">
        <v>15</v>
      </c>
      <c r="S81" s="1" t="s">
        <v>16</v>
      </c>
      <c r="T81" s="2" t="s">
        <v>17</v>
      </c>
      <c r="U81" s="2" t="s">
        <v>18</v>
      </c>
      <c r="V81" s="2" t="s">
        <v>19</v>
      </c>
      <c r="W81" s="2" t="s">
        <v>20</v>
      </c>
      <c r="X81" s="2" t="s">
        <v>21</v>
      </c>
      <c r="Y81" s="3" t="s">
        <v>22</v>
      </c>
      <c r="Z81" s="1" t="s">
        <v>23</v>
      </c>
      <c r="AA81" s="1" t="s">
        <v>24</v>
      </c>
      <c r="AB81" s="1" t="s">
        <v>25</v>
      </c>
      <c r="AC81" s="12"/>
      <c r="AD81" s="12"/>
    </row>
    <row r="82" spans="1:30" x14ac:dyDescent="0.3">
      <c r="C82" s="4"/>
      <c r="D82" s="4"/>
      <c r="E82" s="4"/>
      <c r="F82" s="4"/>
      <c r="G82" s="4"/>
      <c r="H82" s="4"/>
      <c r="I82" s="4"/>
      <c r="J82" s="4"/>
      <c r="K82" s="29"/>
      <c r="L82" s="5">
        <f>SUM(J83:J93)</f>
        <v>12</v>
      </c>
      <c r="M82" s="5">
        <v>9.1</v>
      </c>
      <c r="N82" s="29"/>
      <c r="O82" s="29"/>
      <c r="P82" s="29"/>
      <c r="Q82" s="29"/>
      <c r="R82" s="29"/>
      <c r="S82" s="29"/>
      <c r="T82" s="5"/>
      <c r="U82" s="5"/>
      <c r="V82" s="5"/>
      <c r="W82" s="5"/>
      <c r="X82" s="5"/>
      <c r="Y82" s="6"/>
      <c r="Z82" s="4"/>
      <c r="AA82" s="4"/>
      <c r="AB82" s="4"/>
    </row>
    <row r="83" spans="1:30" x14ac:dyDescent="0.3">
      <c r="A83" s="7" t="s">
        <v>175</v>
      </c>
      <c r="B83" s="8" t="s">
        <v>145</v>
      </c>
      <c r="C83" s="15" t="s">
        <v>176</v>
      </c>
      <c r="D83" s="15" t="s">
        <v>29</v>
      </c>
      <c r="E83" s="15" t="s">
        <v>177</v>
      </c>
      <c r="F83" s="15" t="s">
        <v>178</v>
      </c>
      <c r="G83" s="15" t="s">
        <v>179</v>
      </c>
      <c r="H83" s="15">
        <v>26</v>
      </c>
      <c r="I83" s="15" t="s">
        <v>180</v>
      </c>
      <c r="J83" s="15">
        <v>1.5</v>
      </c>
      <c r="K83" s="15">
        <f>SUM(J83:J88)</f>
        <v>7</v>
      </c>
      <c r="L83" s="15"/>
      <c r="M83" s="15"/>
      <c r="N83" s="16">
        <f>3.5-0.375</f>
        <v>3.125</v>
      </c>
      <c r="O83" s="16">
        <f>N83/K83</f>
        <v>0.44642857142857145</v>
      </c>
      <c r="P83" s="16">
        <f>$O$83*J83</f>
        <v>0.66964285714285721</v>
      </c>
      <c r="Q83" s="16">
        <v>0.375</v>
      </c>
      <c r="R83" s="16">
        <f>Q83+P83</f>
        <v>1.0446428571428572</v>
      </c>
      <c r="S83" s="16">
        <f>AVERAGE(Q83:R83)</f>
        <v>0.7098214285714286</v>
      </c>
      <c r="T83" s="15">
        <v>11.6</v>
      </c>
      <c r="U83" s="15">
        <v>-18.7</v>
      </c>
      <c r="V83" s="15">
        <v>9.3000000000000007</v>
      </c>
      <c r="W83" s="15">
        <v>14.7</v>
      </c>
      <c r="X83" s="15">
        <v>41.9</v>
      </c>
      <c r="Y83" s="15">
        <v>0.25</v>
      </c>
      <c r="Z83" s="15">
        <v>3.3</v>
      </c>
      <c r="AA83" s="15">
        <v>455</v>
      </c>
      <c r="AB83" s="15">
        <v>137</v>
      </c>
      <c r="AC83" s="11"/>
      <c r="AD83" s="11"/>
    </row>
    <row r="84" spans="1:30" x14ac:dyDescent="0.3">
      <c r="A84" s="7"/>
      <c r="B84" s="8"/>
      <c r="C84" s="15" t="s">
        <v>181</v>
      </c>
      <c r="D84" s="15" t="s">
        <v>29</v>
      </c>
      <c r="E84" s="15" t="s">
        <v>177</v>
      </c>
      <c r="F84" s="15" t="s">
        <v>182</v>
      </c>
      <c r="G84" s="15" t="s">
        <v>179</v>
      </c>
      <c r="H84" s="15">
        <v>26</v>
      </c>
      <c r="I84" s="15" t="s">
        <v>180</v>
      </c>
      <c r="J84" s="15">
        <v>1</v>
      </c>
      <c r="K84" s="15"/>
      <c r="L84" s="15"/>
      <c r="M84" s="15"/>
      <c r="N84" s="16"/>
      <c r="O84" s="16"/>
      <c r="P84" s="16">
        <f t="shared" ref="P84:P88" si="26">$O$83*J84</f>
        <v>0.44642857142857145</v>
      </c>
      <c r="Q84" s="16">
        <f>R83+0.01</f>
        <v>1.0546428571428572</v>
      </c>
      <c r="R84" s="16">
        <f>Q84+P84</f>
        <v>1.5010714285714286</v>
      </c>
      <c r="S84" s="16">
        <f t="shared" ref="S84:S88" si="27">AVERAGE(Q84:R84)</f>
        <v>1.277857142857143</v>
      </c>
      <c r="T84" s="15">
        <v>13.8</v>
      </c>
      <c r="U84" s="15">
        <v>-18.100000000000001</v>
      </c>
      <c r="V84" s="15">
        <v>8.4</v>
      </c>
      <c r="W84" s="15">
        <v>13.2</v>
      </c>
      <c r="X84" s="15">
        <v>38</v>
      </c>
      <c r="Y84" s="15">
        <v>0.19</v>
      </c>
      <c r="Z84" s="15">
        <v>3.3</v>
      </c>
      <c r="AA84" s="15">
        <v>529</v>
      </c>
      <c r="AB84" s="15">
        <v>158</v>
      </c>
      <c r="AC84" s="11"/>
      <c r="AD84" s="11"/>
    </row>
    <row r="85" spans="1:30" x14ac:dyDescent="0.3">
      <c r="A85" s="7"/>
      <c r="B85" s="8"/>
      <c r="C85" s="15" t="s">
        <v>183</v>
      </c>
      <c r="D85" s="15" t="s">
        <v>29</v>
      </c>
      <c r="E85" s="15" t="s">
        <v>177</v>
      </c>
      <c r="F85" s="15" t="s">
        <v>184</v>
      </c>
      <c r="G85" s="15" t="s">
        <v>179</v>
      </c>
      <c r="H85" s="15">
        <v>26</v>
      </c>
      <c r="I85" s="15" t="s">
        <v>180</v>
      </c>
      <c r="J85" s="15">
        <v>1.5</v>
      </c>
      <c r="K85" s="15"/>
      <c r="L85" s="15"/>
      <c r="M85" s="15"/>
      <c r="N85" s="16"/>
      <c r="O85" s="16"/>
      <c r="P85" s="16">
        <f t="shared" si="26"/>
        <v>0.66964285714285721</v>
      </c>
      <c r="Q85" s="16">
        <f t="shared" ref="Q85:Q88" si="28">R84+0.01</f>
        <v>1.5110714285714286</v>
      </c>
      <c r="R85" s="16">
        <f t="shared" ref="R85:R86" si="29">Q85+P85</f>
        <v>2.180714285714286</v>
      </c>
      <c r="S85" s="16">
        <f t="shared" si="27"/>
        <v>1.8458928571428572</v>
      </c>
      <c r="T85" s="15">
        <v>11.3</v>
      </c>
      <c r="U85" s="15">
        <v>-18.899999999999999</v>
      </c>
      <c r="V85" s="15">
        <v>9</v>
      </c>
      <c r="W85" s="15">
        <v>15.1</v>
      </c>
      <c r="X85" s="15">
        <v>43.3</v>
      </c>
      <c r="Y85" s="15">
        <v>0.26</v>
      </c>
      <c r="Z85" s="15">
        <v>3.4</v>
      </c>
      <c r="AA85" s="15">
        <v>438</v>
      </c>
      <c r="AB85" s="15">
        <v>131</v>
      </c>
      <c r="AC85" s="11"/>
      <c r="AD85" s="11"/>
    </row>
    <row r="86" spans="1:30" x14ac:dyDescent="0.3">
      <c r="A86" s="7"/>
      <c r="B86" s="8"/>
      <c r="C86" s="15" t="s">
        <v>185</v>
      </c>
      <c r="D86" s="15" t="s">
        <v>29</v>
      </c>
      <c r="E86" s="15" t="s">
        <v>177</v>
      </c>
      <c r="F86" s="15" t="s">
        <v>186</v>
      </c>
      <c r="G86" s="15" t="s">
        <v>179</v>
      </c>
      <c r="H86" s="15">
        <v>26</v>
      </c>
      <c r="I86" s="15" t="s">
        <v>180</v>
      </c>
      <c r="J86" s="15">
        <v>1</v>
      </c>
      <c r="K86" s="15"/>
      <c r="L86" s="15"/>
      <c r="M86" s="15"/>
      <c r="N86" s="16"/>
      <c r="O86" s="16"/>
      <c r="P86" s="16">
        <f t="shared" si="26"/>
        <v>0.44642857142857145</v>
      </c>
      <c r="Q86" s="16">
        <f t="shared" si="28"/>
        <v>2.1907142857142858</v>
      </c>
      <c r="R86" s="16">
        <f t="shared" si="29"/>
        <v>2.6371428571428575</v>
      </c>
      <c r="S86" s="16">
        <f t="shared" si="27"/>
        <v>2.4139285714285714</v>
      </c>
      <c r="T86" s="15">
        <v>10.1</v>
      </c>
      <c r="U86" s="15">
        <v>-19.2</v>
      </c>
      <c r="V86" s="15">
        <v>9.8000000000000007</v>
      </c>
      <c r="W86" s="15">
        <v>13.2</v>
      </c>
      <c r="X86" s="15">
        <v>38.200000000000003</v>
      </c>
      <c r="Y86" s="15">
        <v>0.26</v>
      </c>
      <c r="Z86" s="15">
        <v>3.4</v>
      </c>
      <c r="AA86" s="15">
        <v>392</v>
      </c>
      <c r="AB86" s="15">
        <v>116</v>
      </c>
      <c r="AC86" s="11"/>
      <c r="AD86" s="11"/>
    </row>
    <row r="87" spans="1:30" x14ac:dyDescent="0.3">
      <c r="A87" s="7"/>
      <c r="B87" s="8"/>
      <c r="C87" s="15" t="s">
        <v>187</v>
      </c>
      <c r="D87" s="15" t="s">
        <v>29</v>
      </c>
      <c r="E87" s="15" t="s">
        <v>177</v>
      </c>
      <c r="F87" s="15" t="s">
        <v>188</v>
      </c>
      <c r="G87" s="15" t="s">
        <v>179</v>
      </c>
      <c r="H87" s="15">
        <v>26</v>
      </c>
      <c r="I87" s="15" t="s">
        <v>180</v>
      </c>
      <c r="J87" s="15">
        <v>1</v>
      </c>
      <c r="K87" s="15"/>
      <c r="L87" s="15"/>
      <c r="M87" s="15"/>
      <c r="N87" s="16"/>
      <c r="O87" s="16"/>
      <c r="P87" s="16">
        <f t="shared" si="26"/>
        <v>0.44642857142857145</v>
      </c>
      <c r="Q87" s="16">
        <f t="shared" si="28"/>
        <v>2.6471428571428572</v>
      </c>
      <c r="R87" s="16">
        <f>Q87+P87</f>
        <v>3.0935714285714289</v>
      </c>
      <c r="S87" s="16">
        <f t="shared" si="27"/>
        <v>2.8703571428571433</v>
      </c>
      <c r="T87" s="15">
        <v>9.6999999999999993</v>
      </c>
      <c r="U87" s="15">
        <v>-19.3</v>
      </c>
      <c r="V87" s="15">
        <v>10</v>
      </c>
      <c r="W87" s="15">
        <v>12.7</v>
      </c>
      <c r="X87" s="15">
        <v>36.6</v>
      </c>
      <c r="Y87" s="15">
        <v>0.27</v>
      </c>
      <c r="Z87" s="15">
        <v>3.4</v>
      </c>
      <c r="AA87" s="15">
        <v>367</v>
      </c>
      <c r="AB87" s="15">
        <v>109</v>
      </c>
      <c r="AC87" s="11"/>
      <c r="AD87" s="11"/>
    </row>
    <row r="88" spans="1:30" x14ac:dyDescent="0.3">
      <c r="A88" s="7"/>
      <c r="B88" s="8"/>
      <c r="C88" s="15" t="s">
        <v>189</v>
      </c>
      <c r="D88" s="15" t="s">
        <v>29</v>
      </c>
      <c r="E88" s="15" t="s">
        <v>177</v>
      </c>
      <c r="F88" s="15" t="s">
        <v>190</v>
      </c>
      <c r="G88" s="15" t="s">
        <v>179</v>
      </c>
      <c r="H88" s="15">
        <v>26</v>
      </c>
      <c r="I88" s="15" t="s">
        <v>180</v>
      </c>
      <c r="J88" s="15">
        <v>1</v>
      </c>
      <c r="K88" s="15"/>
      <c r="L88" s="15"/>
      <c r="M88" s="15"/>
      <c r="N88" s="16"/>
      <c r="O88" s="16"/>
      <c r="P88" s="16">
        <f t="shared" si="26"/>
        <v>0.44642857142857145</v>
      </c>
      <c r="Q88" s="16">
        <f t="shared" si="28"/>
        <v>3.1035714285714286</v>
      </c>
      <c r="R88" s="16">
        <f t="shared" ref="R88" si="30">Q88+P88</f>
        <v>3.5500000000000003</v>
      </c>
      <c r="S88" s="16">
        <f t="shared" si="27"/>
        <v>3.3267857142857142</v>
      </c>
      <c r="T88" s="15">
        <v>9</v>
      </c>
      <c r="U88" s="15">
        <v>-19.3</v>
      </c>
      <c r="V88" s="15">
        <v>10.7</v>
      </c>
      <c r="W88" s="15">
        <v>11.7</v>
      </c>
      <c r="X88" s="15">
        <v>33.9</v>
      </c>
      <c r="Y88" s="15">
        <v>0.28999999999999998</v>
      </c>
      <c r="Z88" s="15">
        <v>3.4</v>
      </c>
      <c r="AA88" s="15">
        <v>316</v>
      </c>
      <c r="AB88" s="15">
        <v>94</v>
      </c>
      <c r="AC88" s="11"/>
      <c r="AD88" s="11"/>
    </row>
    <row r="89" spans="1:30" x14ac:dyDescent="0.3">
      <c r="A89" s="7"/>
      <c r="B89" s="40" t="s">
        <v>162</v>
      </c>
      <c r="C89" s="22" t="s">
        <v>191</v>
      </c>
      <c r="D89" s="22" t="s">
        <v>29</v>
      </c>
      <c r="E89" s="22" t="s">
        <v>177</v>
      </c>
      <c r="F89" s="22" t="s">
        <v>192</v>
      </c>
      <c r="G89" s="22" t="s">
        <v>179</v>
      </c>
      <c r="H89" s="22">
        <v>26</v>
      </c>
      <c r="I89" s="22" t="s">
        <v>180</v>
      </c>
      <c r="J89" s="22">
        <v>1</v>
      </c>
      <c r="K89" s="22">
        <f>J89</f>
        <v>1</v>
      </c>
      <c r="L89" s="22"/>
      <c r="M89" s="22"/>
      <c r="N89" s="23">
        <f>4.5-3.5</f>
        <v>1</v>
      </c>
      <c r="O89" s="23">
        <f>N89/K89</f>
        <v>1</v>
      </c>
      <c r="P89" s="23">
        <f>$O$89*J89</f>
        <v>1</v>
      </c>
      <c r="Q89" s="23">
        <f>R88+0.01</f>
        <v>3.56</v>
      </c>
      <c r="R89" s="23">
        <f>Q89+P89</f>
        <v>4.5600000000000005</v>
      </c>
      <c r="S89" s="23">
        <f>AVERAGE(Q89:R89)</f>
        <v>4.0600000000000005</v>
      </c>
      <c r="T89" s="22">
        <v>8.6</v>
      </c>
      <c r="U89" s="22">
        <v>-19.600000000000001</v>
      </c>
      <c r="V89" s="22">
        <v>11.6</v>
      </c>
      <c r="W89" s="22">
        <v>10.7</v>
      </c>
      <c r="X89" s="22">
        <v>30.7</v>
      </c>
      <c r="Y89" s="22">
        <v>0.32</v>
      </c>
      <c r="Z89" s="22">
        <v>3.3</v>
      </c>
      <c r="AA89" s="22">
        <v>258</v>
      </c>
      <c r="AB89" s="22">
        <v>77</v>
      </c>
      <c r="AC89" s="11"/>
      <c r="AD89" s="11"/>
    </row>
    <row r="90" spans="1:30" x14ac:dyDescent="0.3">
      <c r="A90" s="7"/>
      <c r="B90" s="8" t="s">
        <v>85</v>
      </c>
      <c r="C90" s="48" t="s">
        <v>193</v>
      </c>
      <c r="D90" s="48" t="s">
        <v>29</v>
      </c>
      <c r="E90" s="48" t="s">
        <v>177</v>
      </c>
      <c r="F90" s="48" t="s">
        <v>194</v>
      </c>
      <c r="G90" s="48" t="s">
        <v>179</v>
      </c>
      <c r="H90" s="48">
        <v>26</v>
      </c>
      <c r="I90" s="48" t="s">
        <v>180</v>
      </c>
      <c r="J90" s="48">
        <v>1</v>
      </c>
      <c r="K90" s="48">
        <f>SUM(J90:J92)</f>
        <v>3</v>
      </c>
      <c r="L90" s="48"/>
      <c r="M90" s="48"/>
      <c r="N90" s="49">
        <f>8.5-4.5</f>
        <v>4</v>
      </c>
      <c r="O90" s="49">
        <f>N90/K90</f>
        <v>1.3333333333333333</v>
      </c>
      <c r="P90" s="49">
        <f>$O$90*J90</f>
        <v>1.3333333333333333</v>
      </c>
      <c r="Q90" s="49">
        <f>R89+0.01</f>
        <v>4.57</v>
      </c>
      <c r="R90" s="49">
        <f>Q90+P90</f>
        <v>5.9033333333333333</v>
      </c>
      <c r="S90" s="49">
        <f>AVERAGE(Q90:R90)</f>
        <v>5.2366666666666664</v>
      </c>
      <c r="T90" s="48">
        <v>8.4</v>
      </c>
      <c r="U90" s="48">
        <v>-19.600000000000001</v>
      </c>
      <c r="V90" s="48">
        <v>11.5</v>
      </c>
      <c r="W90" s="48">
        <v>9</v>
      </c>
      <c r="X90" s="48">
        <v>26.3</v>
      </c>
      <c r="Y90" s="48">
        <v>0.26</v>
      </c>
      <c r="Z90" s="48">
        <v>3.4</v>
      </c>
      <c r="AA90" s="48">
        <v>271</v>
      </c>
      <c r="AB90" s="48">
        <v>79</v>
      </c>
      <c r="AC90" s="11"/>
      <c r="AD90" s="11"/>
    </row>
    <row r="91" spans="1:30" x14ac:dyDescent="0.3">
      <c r="A91" s="7"/>
      <c r="B91" s="8"/>
      <c r="C91" s="48" t="s">
        <v>195</v>
      </c>
      <c r="D91" s="48" t="s">
        <v>29</v>
      </c>
      <c r="E91" s="48" t="s">
        <v>177</v>
      </c>
      <c r="F91" s="48" t="s">
        <v>196</v>
      </c>
      <c r="G91" s="48" t="s">
        <v>179</v>
      </c>
      <c r="H91" s="48">
        <v>26</v>
      </c>
      <c r="I91" s="48" t="s">
        <v>180</v>
      </c>
      <c r="J91" s="48">
        <v>1</v>
      </c>
      <c r="K91" s="48"/>
      <c r="L91" s="48"/>
      <c r="M91" s="48"/>
      <c r="N91" s="49"/>
      <c r="O91" s="49"/>
      <c r="P91" s="49">
        <f t="shared" ref="P91:P92" si="31">$O$90*J91</f>
        <v>1.3333333333333333</v>
      </c>
      <c r="Q91" s="49">
        <f t="shared" ref="Q91:Q92" si="32">R90+0.01</f>
        <v>5.9133333333333331</v>
      </c>
      <c r="R91" s="49">
        <f t="shared" ref="R91:R93" si="33">Q91+P91</f>
        <v>7.2466666666666661</v>
      </c>
      <c r="S91" s="49">
        <f t="shared" ref="S91:S92" si="34">AVERAGE(Q91:R91)</f>
        <v>6.58</v>
      </c>
      <c r="T91" s="48">
        <v>8.4</v>
      </c>
      <c r="U91" s="48">
        <v>-19.600000000000001</v>
      </c>
      <c r="V91" s="48">
        <v>11.4</v>
      </c>
      <c r="W91" s="48">
        <v>10.5</v>
      </c>
      <c r="X91" s="48">
        <v>30.9</v>
      </c>
      <c r="Y91" s="48">
        <v>0.3</v>
      </c>
      <c r="Z91" s="48">
        <v>3.4</v>
      </c>
      <c r="AA91" s="48">
        <v>280</v>
      </c>
      <c r="AB91" s="48">
        <v>81</v>
      </c>
      <c r="AC91" s="11"/>
      <c r="AD91" s="11"/>
    </row>
    <row r="92" spans="1:30" x14ac:dyDescent="0.3">
      <c r="A92" s="7"/>
      <c r="B92" s="8"/>
      <c r="C92" s="48" t="s">
        <v>197</v>
      </c>
      <c r="D92" s="48" t="s">
        <v>29</v>
      </c>
      <c r="E92" s="48" t="s">
        <v>177</v>
      </c>
      <c r="F92" s="48" t="s">
        <v>198</v>
      </c>
      <c r="G92" s="48" t="s">
        <v>179</v>
      </c>
      <c r="H92" s="48">
        <v>26</v>
      </c>
      <c r="I92" s="48" t="s">
        <v>180</v>
      </c>
      <c r="J92" s="48">
        <v>1</v>
      </c>
      <c r="K92" s="48"/>
      <c r="L92" s="48"/>
      <c r="M92" s="48"/>
      <c r="N92" s="49"/>
      <c r="O92" s="49"/>
      <c r="P92" s="49">
        <f t="shared" si="31"/>
        <v>1.3333333333333333</v>
      </c>
      <c r="Q92" s="49">
        <f t="shared" si="32"/>
        <v>7.2566666666666659</v>
      </c>
      <c r="R92" s="49">
        <f t="shared" si="33"/>
        <v>8.59</v>
      </c>
      <c r="S92" s="49">
        <f t="shared" si="34"/>
        <v>7.9233333333333329</v>
      </c>
      <c r="T92" s="48">
        <v>8.6999999999999993</v>
      </c>
      <c r="U92" s="48">
        <v>-19.5</v>
      </c>
      <c r="V92" s="48">
        <v>11.6</v>
      </c>
      <c r="W92" s="48">
        <v>9.1999999999999993</v>
      </c>
      <c r="X92" s="48">
        <v>27.2</v>
      </c>
      <c r="Y92" s="48">
        <v>0.31</v>
      </c>
      <c r="Z92" s="48">
        <v>3.4</v>
      </c>
      <c r="AA92" s="48">
        <v>236</v>
      </c>
      <c r="AB92" s="48">
        <v>69</v>
      </c>
      <c r="AC92" s="11"/>
      <c r="AD92" s="11"/>
    </row>
    <row r="93" spans="1:30" x14ac:dyDescent="0.3">
      <c r="A93" s="7"/>
      <c r="B93" s="40" t="s">
        <v>88</v>
      </c>
      <c r="C93" s="18" t="s">
        <v>199</v>
      </c>
      <c r="D93" s="18" t="s">
        <v>29</v>
      </c>
      <c r="E93" s="18" t="s">
        <v>177</v>
      </c>
      <c r="F93" s="18" t="s">
        <v>200</v>
      </c>
      <c r="G93" s="18" t="s">
        <v>179</v>
      </c>
      <c r="H93" s="18">
        <v>26</v>
      </c>
      <c r="I93" s="18" t="s">
        <v>180</v>
      </c>
      <c r="J93" s="18">
        <v>1</v>
      </c>
      <c r="K93" s="18">
        <f>SUM(J93)</f>
        <v>1</v>
      </c>
      <c r="L93" s="18"/>
      <c r="M93" s="18"/>
      <c r="N93" s="19">
        <f>9.5-8.5</f>
        <v>1</v>
      </c>
      <c r="O93" s="19">
        <f>N93/K93</f>
        <v>1</v>
      </c>
      <c r="P93" s="19">
        <f>$O$93*J93</f>
        <v>1</v>
      </c>
      <c r="Q93" s="19">
        <f>R92+0.01</f>
        <v>8.6</v>
      </c>
      <c r="R93" s="19">
        <f t="shared" si="33"/>
        <v>9.6</v>
      </c>
      <c r="S93" s="19">
        <f>AVERAGE(Q93:R93)</f>
        <v>9.1</v>
      </c>
      <c r="T93" s="18">
        <v>8.6999999999999993</v>
      </c>
      <c r="U93" s="18">
        <v>-20.100000000000001</v>
      </c>
      <c r="V93" s="18"/>
      <c r="W93" s="18">
        <v>7.4</v>
      </c>
      <c r="X93" s="18">
        <v>22.5</v>
      </c>
      <c r="Y93" s="18"/>
      <c r="Z93" s="18">
        <v>3.5</v>
      </c>
      <c r="AA93" s="18"/>
      <c r="AB93" s="18"/>
      <c r="AC93" s="11"/>
      <c r="AD93" s="11"/>
    </row>
    <row r="95" spans="1:30" ht="72" x14ac:dyDescent="0.3">
      <c r="C95" s="1" t="s">
        <v>0</v>
      </c>
      <c r="D95" s="1" t="s">
        <v>1</v>
      </c>
      <c r="E95" s="1" t="s">
        <v>2</v>
      </c>
      <c r="F95" s="1" t="s">
        <v>3</v>
      </c>
      <c r="G95" s="1" t="s">
        <v>4</v>
      </c>
      <c r="H95" s="1" t="s">
        <v>5</v>
      </c>
      <c r="I95" s="1" t="s">
        <v>6</v>
      </c>
      <c r="J95" s="1" t="s">
        <v>7</v>
      </c>
      <c r="K95" s="1" t="s">
        <v>8</v>
      </c>
      <c r="L95" s="1" t="s">
        <v>9</v>
      </c>
      <c r="M95" s="1" t="s">
        <v>10</v>
      </c>
      <c r="N95" s="1" t="s">
        <v>70</v>
      </c>
      <c r="O95" s="1" t="s">
        <v>12</v>
      </c>
      <c r="P95" s="1" t="s">
        <v>13</v>
      </c>
      <c r="Q95" s="1" t="s">
        <v>14</v>
      </c>
      <c r="R95" s="1" t="s">
        <v>15</v>
      </c>
      <c r="S95" s="1" t="s">
        <v>16</v>
      </c>
      <c r="T95" s="2" t="s">
        <v>17</v>
      </c>
      <c r="U95" s="2" t="s">
        <v>18</v>
      </c>
      <c r="V95" s="2" t="s">
        <v>19</v>
      </c>
      <c r="W95" s="2" t="s">
        <v>20</v>
      </c>
      <c r="X95" s="2" t="s">
        <v>21</v>
      </c>
      <c r="Y95" s="3" t="s">
        <v>22</v>
      </c>
      <c r="Z95" s="1" t="s">
        <v>23</v>
      </c>
      <c r="AA95" s="1" t="s">
        <v>24</v>
      </c>
      <c r="AB95" s="1" t="s">
        <v>25</v>
      </c>
      <c r="AC95" s="12"/>
      <c r="AD95" s="12"/>
    </row>
    <row r="96" spans="1:30" x14ac:dyDescent="0.3">
      <c r="C96" s="4"/>
      <c r="D96" s="4"/>
      <c r="E96" s="4"/>
      <c r="F96" s="4"/>
      <c r="G96" s="4"/>
      <c r="H96" s="4"/>
      <c r="I96" s="4"/>
      <c r="J96" s="4"/>
      <c r="K96" s="29"/>
      <c r="L96" s="5">
        <f>SUM(J97:J116)</f>
        <v>19.5</v>
      </c>
      <c r="M96" s="5">
        <v>9.1</v>
      </c>
      <c r="N96" s="29"/>
      <c r="O96" s="29"/>
      <c r="P96" s="29"/>
      <c r="Q96" s="29"/>
      <c r="R96" s="29"/>
      <c r="S96" s="29"/>
      <c r="T96" s="5"/>
      <c r="U96" s="5"/>
      <c r="V96" s="5"/>
      <c r="W96" s="5"/>
      <c r="X96" s="5"/>
      <c r="Y96" s="6"/>
      <c r="Z96" s="4"/>
      <c r="AA96" s="4"/>
      <c r="AB96" s="4"/>
    </row>
    <row r="97" spans="1:30" x14ac:dyDescent="0.3">
      <c r="A97" s="7" t="s">
        <v>201</v>
      </c>
      <c r="B97" s="8" t="s">
        <v>145</v>
      </c>
      <c r="C97" s="15" t="s">
        <v>202</v>
      </c>
      <c r="D97" s="15" t="s">
        <v>29</v>
      </c>
      <c r="E97" s="15" t="s">
        <v>177</v>
      </c>
      <c r="F97" s="15" t="s">
        <v>203</v>
      </c>
      <c r="G97" s="15" t="s">
        <v>204</v>
      </c>
      <c r="H97" s="15">
        <v>16</v>
      </c>
      <c r="I97" s="15" t="s">
        <v>205</v>
      </c>
      <c r="J97" s="15">
        <v>0.5</v>
      </c>
      <c r="K97" s="15">
        <f>SUM(J97:J104)</f>
        <v>7.5</v>
      </c>
      <c r="L97" s="15"/>
      <c r="M97" s="15"/>
      <c r="N97" s="16">
        <f>3.5-0.375</f>
        <v>3.125</v>
      </c>
      <c r="O97" s="16">
        <f>N97/K97</f>
        <v>0.41666666666666669</v>
      </c>
      <c r="P97" s="16">
        <f>$O$97*J97</f>
        <v>0.20833333333333334</v>
      </c>
      <c r="Q97" s="16">
        <v>0.375</v>
      </c>
      <c r="R97" s="16">
        <f>Q97+P97</f>
        <v>0.58333333333333337</v>
      </c>
      <c r="S97" s="16">
        <f>AVERAGE(Q97:R97)</f>
        <v>0.47916666666666669</v>
      </c>
      <c r="T97" s="15">
        <v>13.4</v>
      </c>
      <c r="U97" s="15">
        <v>-18.100000000000001</v>
      </c>
      <c r="V97" s="15">
        <v>12.9</v>
      </c>
      <c r="W97" s="15">
        <v>12.8</v>
      </c>
      <c r="X97" s="15">
        <v>35.9</v>
      </c>
      <c r="Y97" s="15">
        <v>0.2</v>
      </c>
      <c r="Z97" s="15">
        <v>3.3</v>
      </c>
      <c r="AA97" s="15">
        <v>469</v>
      </c>
      <c r="AB97" s="15">
        <v>143</v>
      </c>
      <c r="AC97" s="11"/>
      <c r="AD97" s="11"/>
    </row>
    <row r="98" spans="1:30" x14ac:dyDescent="0.3">
      <c r="A98" s="7"/>
      <c r="B98" s="8"/>
      <c r="C98" s="15" t="s">
        <v>206</v>
      </c>
      <c r="D98" s="15" t="s">
        <v>29</v>
      </c>
      <c r="E98" s="15" t="s">
        <v>177</v>
      </c>
      <c r="F98" s="15" t="s">
        <v>207</v>
      </c>
      <c r="G98" s="15" t="s">
        <v>204</v>
      </c>
      <c r="H98" s="15">
        <v>16</v>
      </c>
      <c r="I98" s="15" t="s">
        <v>205</v>
      </c>
      <c r="J98" s="15">
        <v>1</v>
      </c>
      <c r="K98" s="15"/>
      <c r="L98" s="15"/>
      <c r="M98" s="15"/>
      <c r="N98" s="16"/>
      <c r="O98" s="16"/>
      <c r="P98" s="16">
        <f t="shared" ref="P98:P104" si="35">$O$97*J98</f>
        <v>0.41666666666666669</v>
      </c>
      <c r="Q98" s="16">
        <f>R97+0.01</f>
        <v>0.59333333333333338</v>
      </c>
      <c r="R98" s="16">
        <f>Q98+P98</f>
        <v>1.01</v>
      </c>
      <c r="S98" s="16">
        <f t="shared" ref="S98:S116" si="36">AVERAGE(Q98:R98)</f>
        <v>0.80166666666666675</v>
      </c>
      <c r="T98" s="15">
        <v>13</v>
      </c>
      <c r="U98" s="15">
        <v>-18.2</v>
      </c>
      <c r="V98" s="15">
        <v>11.9</v>
      </c>
      <c r="W98" s="15">
        <v>12.7</v>
      </c>
      <c r="X98" s="15">
        <v>35.6</v>
      </c>
      <c r="Y98" s="15">
        <v>0.22</v>
      </c>
      <c r="Z98" s="15">
        <v>3.3</v>
      </c>
      <c r="AA98" s="15">
        <v>423</v>
      </c>
      <c r="AB98" s="15">
        <v>129</v>
      </c>
      <c r="AC98" s="11"/>
      <c r="AD98" s="11"/>
    </row>
    <row r="99" spans="1:30" x14ac:dyDescent="0.3">
      <c r="A99" s="7"/>
      <c r="B99" s="8"/>
      <c r="C99" s="15" t="s">
        <v>208</v>
      </c>
      <c r="D99" s="15" t="s">
        <v>29</v>
      </c>
      <c r="E99" s="15" t="s">
        <v>177</v>
      </c>
      <c r="F99" s="15" t="s">
        <v>209</v>
      </c>
      <c r="G99" s="15" t="s">
        <v>204</v>
      </c>
      <c r="H99" s="15">
        <v>16</v>
      </c>
      <c r="I99" s="15" t="s">
        <v>205</v>
      </c>
      <c r="J99" s="15">
        <v>1</v>
      </c>
      <c r="K99" s="15"/>
      <c r="L99" s="15"/>
      <c r="M99" s="15"/>
      <c r="N99" s="16"/>
      <c r="O99" s="16"/>
      <c r="P99" s="16">
        <f t="shared" si="35"/>
        <v>0.41666666666666669</v>
      </c>
      <c r="Q99" s="16">
        <f t="shared" ref="Q99:Q116" si="37">R98+0.01</f>
        <v>1.02</v>
      </c>
      <c r="R99" s="16">
        <f t="shared" ref="R99:R116" si="38">Q99+P99</f>
        <v>1.4366666666666668</v>
      </c>
      <c r="S99" s="16">
        <f t="shared" si="36"/>
        <v>1.2283333333333335</v>
      </c>
      <c r="T99" s="15">
        <v>11.8</v>
      </c>
      <c r="U99" s="15">
        <v>-18.7</v>
      </c>
      <c r="V99" s="15">
        <v>13</v>
      </c>
      <c r="W99" s="15">
        <v>13.3</v>
      </c>
      <c r="X99" s="15">
        <v>37.6</v>
      </c>
      <c r="Y99" s="15">
        <v>0.26</v>
      </c>
      <c r="Z99" s="15">
        <v>3.3</v>
      </c>
      <c r="AA99" s="15">
        <v>385</v>
      </c>
      <c r="AB99" s="15">
        <v>117</v>
      </c>
      <c r="AC99" s="11"/>
      <c r="AD99" s="11"/>
    </row>
    <row r="100" spans="1:30" x14ac:dyDescent="0.3">
      <c r="A100" s="7"/>
      <c r="B100" s="8"/>
      <c r="C100" s="15" t="s">
        <v>210</v>
      </c>
      <c r="D100" s="15" t="s">
        <v>29</v>
      </c>
      <c r="E100" s="15" t="s">
        <v>177</v>
      </c>
      <c r="F100" s="15" t="s">
        <v>211</v>
      </c>
      <c r="G100" s="15" t="s">
        <v>204</v>
      </c>
      <c r="H100" s="15">
        <v>16</v>
      </c>
      <c r="I100" s="15" t="s">
        <v>205</v>
      </c>
      <c r="J100" s="15">
        <v>1</v>
      </c>
      <c r="K100" s="15"/>
      <c r="L100" s="15"/>
      <c r="M100" s="15"/>
      <c r="N100" s="16"/>
      <c r="O100" s="16"/>
      <c r="P100" s="16">
        <f t="shared" si="35"/>
        <v>0.41666666666666669</v>
      </c>
      <c r="Q100" s="16">
        <f t="shared" si="37"/>
        <v>1.4466666666666668</v>
      </c>
      <c r="R100" s="16">
        <f t="shared" si="38"/>
        <v>1.8633333333333335</v>
      </c>
      <c r="S100" s="16">
        <f t="shared" si="36"/>
        <v>1.6550000000000002</v>
      </c>
      <c r="T100" s="15">
        <v>10.6</v>
      </c>
      <c r="U100" s="15">
        <v>-19.3</v>
      </c>
      <c r="V100" s="15">
        <v>13.1</v>
      </c>
      <c r="W100" s="15">
        <v>13.7</v>
      </c>
      <c r="X100" s="15">
        <v>39</v>
      </c>
      <c r="Y100" s="15">
        <v>0.27</v>
      </c>
      <c r="Z100" s="15">
        <v>3.3</v>
      </c>
      <c r="AA100" s="15">
        <v>381</v>
      </c>
      <c r="AB100" s="15">
        <v>114</v>
      </c>
      <c r="AC100" s="11"/>
      <c r="AD100" s="11"/>
    </row>
    <row r="101" spans="1:30" x14ac:dyDescent="0.3">
      <c r="A101" s="7"/>
      <c r="B101" s="8"/>
      <c r="C101" s="15" t="s">
        <v>212</v>
      </c>
      <c r="D101" s="15" t="s">
        <v>29</v>
      </c>
      <c r="E101" s="15" t="s">
        <v>177</v>
      </c>
      <c r="F101" s="15" t="s">
        <v>213</v>
      </c>
      <c r="G101" s="15" t="s">
        <v>204</v>
      </c>
      <c r="H101" s="15">
        <v>16</v>
      </c>
      <c r="I101" s="15" t="s">
        <v>205</v>
      </c>
      <c r="J101" s="15">
        <v>1</v>
      </c>
      <c r="K101" s="15"/>
      <c r="L101" s="15"/>
      <c r="M101" s="15"/>
      <c r="N101" s="16"/>
      <c r="O101" s="16"/>
      <c r="P101" s="16">
        <f t="shared" si="35"/>
        <v>0.41666666666666669</v>
      </c>
      <c r="Q101" s="16">
        <f t="shared" si="37"/>
        <v>1.8733333333333335</v>
      </c>
      <c r="R101" s="16">
        <f t="shared" si="38"/>
        <v>2.29</v>
      </c>
      <c r="S101" s="16">
        <f t="shared" si="36"/>
        <v>2.081666666666667</v>
      </c>
      <c r="T101" s="15">
        <v>9.6</v>
      </c>
      <c r="U101" s="15">
        <v>-19.8</v>
      </c>
      <c r="V101" s="15">
        <v>13.2</v>
      </c>
      <c r="W101" s="15">
        <v>11.4</v>
      </c>
      <c r="X101" s="15">
        <v>33.5</v>
      </c>
      <c r="Y101" s="15">
        <v>0.24</v>
      </c>
      <c r="Z101" s="15">
        <v>3.4</v>
      </c>
      <c r="AA101" s="15">
        <v>366</v>
      </c>
      <c r="AB101" s="15">
        <v>107</v>
      </c>
      <c r="AC101" s="11"/>
      <c r="AD101" s="11"/>
    </row>
    <row r="102" spans="1:30" x14ac:dyDescent="0.3">
      <c r="A102" s="7"/>
      <c r="B102" s="8"/>
      <c r="C102" s="15" t="s">
        <v>214</v>
      </c>
      <c r="D102" s="15" t="s">
        <v>29</v>
      </c>
      <c r="E102" s="15" t="s">
        <v>177</v>
      </c>
      <c r="F102" s="15" t="s">
        <v>215</v>
      </c>
      <c r="G102" s="15" t="s">
        <v>204</v>
      </c>
      <c r="H102" s="15">
        <v>16</v>
      </c>
      <c r="I102" s="15" t="s">
        <v>205</v>
      </c>
      <c r="J102" s="15">
        <v>1</v>
      </c>
      <c r="K102" s="15"/>
      <c r="L102" s="15"/>
      <c r="M102" s="15"/>
      <c r="N102" s="16"/>
      <c r="O102" s="16"/>
      <c r="P102" s="16">
        <f t="shared" si="35"/>
        <v>0.41666666666666669</v>
      </c>
      <c r="Q102" s="16">
        <f t="shared" si="37"/>
        <v>2.2999999999999998</v>
      </c>
      <c r="R102" s="16">
        <f t="shared" si="38"/>
        <v>2.7166666666666663</v>
      </c>
      <c r="S102" s="16">
        <f t="shared" si="36"/>
        <v>2.5083333333333329</v>
      </c>
      <c r="T102" s="15">
        <v>9.4</v>
      </c>
      <c r="U102" s="15">
        <v>-19.8</v>
      </c>
      <c r="V102" s="15">
        <v>13.1</v>
      </c>
      <c r="W102" s="15">
        <v>12.1</v>
      </c>
      <c r="X102" s="15">
        <v>34.700000000000003</v>
      </c>
      <c r="Y102" s="15">
        <v>0.25</v>
      </c>
      <c r="Z102" s="15">
        <v>3.4</v>
      </c>
      <c r="AA102" s="15">
        <v>374</v>
      </c>
      <c r="AB102" s="15">
        <v>112</v>
      </c>
      <c r="AC102" s="11"/>
      <c r="AD102" s="11"/>
    </row>
    <row r="103" spans="1:30" x14ac:dyDescent="0.3">
      <c r="A103" s="7"/>
      <c r="B103" s="8"/>
      <c r="C103" s="15" t="s">
        <v>216</v>
      </c>
      <c r="D103" s="15" t="s">
        <v>29</v>
      </c>
      <c r="E103" s="15" t="s">
        <v>177</v>
      </c>
      <c r="F103" s="15" t="s">
        <v>217</v>
      </c>
      <c r="G103" s="15" t="s">
        <v>204</v>
      </c>
      <c r="H103" s="15">
        <v>16</v>
      </c>
      <c r="I103" s="15" t="s">
        <v>205</v>
      </c>
      <c r="J103" s="15">
        <v>1</v>
      </c>
      <c r="K103" s="15"/>
      <c r="L103" s="15"/>
      <c r="M103" s="15"/>
      <c r="N103" s="16"/>
      <c r="O103" s="16"/>
      <c r="P103" s="16">
        <f t="shared" si="35"/>
        <v>0.41666666666666669</v>
      </c>
      <c r="Q103" s="16">
        <f t="shared" si="37"/>
        <v>2.7266666666666661</v>
      </c>
      <c r="R103" s="16">
        <f t="shared" si="38"/>
        <v>3.1433333333333326</v>
      </c>
      <c r="S103" s="16">
        <f t="shared" si="36"/>
        <v>2.9349999999999996</v>
      </c>
      <c r="T103" s="15">
        <v>9</v>
      </c>
      <c r="U103" s="15">
        <v>-19.7</v>
      </c>
      <c r="V103" s="15">
        <v>13.1</v>
      </c>
      <c r="W103" s="15">
        <v>11.9</v>
      </c>
      <c r="X103" s="15">
        <v>34.1</v>
      </c>
      <c r="Y103" s="15">
        <v>0.28000000000000003</v>
      </c>
      <c r="Z103" s="15">
        <v>3.3</v>
      </c>
      <c r="AA103" s="15">
        <v>327</v>
      </c>
      <c r="AB103" s="15">
        <v>98</v>
      </c>
      <c r="AC103" s="11"/>
      <c r="AD103" s="11"/>
    </row>
    <row r="104" spans="1:30" x14ac:dyDescent="0.3">
      <c r="A104" s="7"/>
      <c r="B104" s="8"/>
      <c r="C104" s="15" t="s">
        <v>218</v>
      </c>
      <c r="D104" s="15" t="s">
        <v>29</v>
      </c>
      <c r="E104" s="15" t="s">
        <v>177</v>
      </c>
      <c r="F104" s="15" t="s">
        <v>219</v>
      </c>
      <c r="G104" s="15" t="s">
        <v>204</v>
      </c>
      <c r="H104" s="15">
        <v>16</v>
      </c>
      <c r="I104" s="15" t="s">
        <v>205</v>
      </c>
      <c r="J104" s="15">
        <v>1</v>
      </c>
      <c r="K104" s="15"/>
      <c r="L104" s="15"/>
      <c r="M104" s="15"/>
      <c r="N104" s="16"/>
      <c r="O104" s="16"/>
      <c r="P104" s="16">
        <f t="shared" si="35"/>
        <v>0.41666666666666669</v>
      </c>
      <c r="Q104" s="16">
        <f t="shared" si="37"/>
        <v>3.1533333333333324</v>
      </c>
      <c r="R104" s="16">
        <f t="shared" si="38"/>
        <v>3.569999999999999</v>
      </c>
      <c r="S104" s="16">
        <f t="shared" si="36"/>
        <v>3.3616666666666655</v>
      </c>
      <c r="T104" s="15">
        <v>9</v>
      </c>
      <c r="U104" s="15">
        <v>-19.399999999999999</v>
      </c>
      <c r="V104" s="15">
        <v>13.3</v>
      </c>
      <c r="W104" s="15">
        <v>13</v>
      </c>
      <c r="X104" s="15">
        <v>37.299999999999997</v>
      </c>
      <c r="Y104" s="15">
        <v>0.31</v>
      </c>
      <c r="Z104" s="15">
        <v>3.4</v>
      </c>
      <c r="AA104" s="15">
        <v>317</v>
      </c>
      <c r="AB104" s="15">
        <v>94</v>
      </c>
      <c r="AC104" s="11"/>
      <c r="AD104" s="11"/>
    </row>
    <row r="105" spans="1:30" x14ac:dyDescent="0.3">
      <c r="A105" s="7"/>
      <c r="B105" s="8" t="s">
        <v>162</v>
      </c>
      <c r="C105" s="22" t="s">
        <v>220</v>
      </c>
      <c r="D105" s="22" t="s">
        <v>29</v>
      </c>
      <c r="E105" s="22" t="s">
        <v>177</v>
      </c>
      <c r="F105" s="22" t="s">
        <v>221</v>
      </c>
      <c r="G105" s="22" t="s">
        <v>204</v>
      </c>
      <c r="H105" s="22">
        <v>16</v>
      </c>
      <c r="I105" s="22" t="s">
        <v>205</v>
      </c>
      <c r="J105" s="22">
        <v>1</v>
      </c>
      <c r="K105" s="22">
        <f>SUM(J105:J106)</f>
        <v>2</v>
      </c>
      <c r="L105" s="22"/>
      <c r="M105" s="22"/>
      <c r="N105" s="23">
        <f>4.5-3.5</f>
        <v>1</v>
      </c>
      <c r="O105" s="23">
        <f>N105/K105</f>
        <v>0.5</v>
      </c>
      <c r="P105" s="23">
        <f>$O$105*J105</f>
        <v>0.5</v>
      </c>
      <c r="Q105" s="23">
        <f t="shared" si="37"/>
        <v>3.5799999999999987</v>
      </c>
      <c r="R105" s="23">
        <f t="shared" si="38"/>
        <v>4.0799999999999983</v>
      </c>
      <c r="S105" s="23">
        <f t="shared" si="36"/>
        <v>3.8299999999999983</v>
      </c>
      <c r="T105" s="22">
        <v>9</v>
      </c>
      <c r="U105" s="22">
        <v>-19.2</v>
      </c>
      <c r="V105" s="22">
        <v>13.1</v>
      </c>
      <c r="W105" s="22">
        <v>12.7</v>
      </c>
      <c r="X105" s="22">
        <v>36.1</v>
      </c>
      <c r="Y105" s="22">
        <v>0.31</v>
      </c>
      <c r="Z105" s="22">
        <v>3.3</v>
      </c>
      <c r="AA105" s="22">
        <v>309</v>
      </c>
      <c r="AB105" s="22">
        <v>93</v>
      </c>
      <c r="AC105" s="11"/>
      <c r="AD105" s="11"/>
    </row>
    <row r="106" spans="1:30" x14ac:dyDescent="0.3">
      <c r="A106" s="7"/>
      <c r="B106" s="8"/>
      <c r="C106" s="22" t="s">
        <v>222</v>
      </c>
      <c r="D106" s="22" t="s">
        <v>29</v>
      </c>
      <c r="E106" s="22" t="s">
        <v>177</v>
      </c>
      <c r="F106" s="22" t="s">
        <v>223</v>
      </c>
      <c r="G106" s="22" t="s">
        <v>204</v>
      </c>
      <c r="H106" s="22">
        <v>16</v>
      </c>
      <c r="I106" s="22" t="s">
        <v>205</v>
      </c>
      <c r="J106" s="22">
        <v>1</v>
      </c>
      <c r="K106" s="22"/>
      <c r="L106" s="22"/>
      <c r="M106" s="22"/>
      <c r="N106" s="23"/>
      <c r="O106" s="23"/>
      <c r="P106" s="23">
        <f t="shared" ref="P106" si="39">$O$105*J106</f>
        <v>0.5</v>
      </c>
      <c r="Q106" s="23">
        <f t="shared" si="37"/>
        <v>4.0899999999999981</v>
      </c>
      <c r="R106" s="23">
        <f t="shared" si="38"/>
        <v>4.5899999999999981</v>
      </c>
      <c r="S106" s="23">
        <f t="shared" si="36"/>
        <v>4.3399999999999981</v>
      </c>
      <c r="T106" s="22">
        <v>9</v>
      </c>
      <c r="U106" s="22">
        <v>-19.100000000000001</v>
      </c>
      <c r="V106" s="22">
        <v>13.1</v>
      </c>
      <c r="W106" s="22">
        <v>12.3</v>
      </c>
      <c r="X106" s="22">
        <v>35.4</v>
      </c>
      <c r="Y106" s="22">
        <v>0.3</v>
      </c>
      <c r="Z106" s="22">
        <v>3.4</v>
      </c>
      <c r="AA106" s="22">
        <v>312</v>
      </c>
      <c r="AB106" s="22">
        <v>93</v>
      </c>
      <c r="AC106" s="11"/>
      <c r="AD106" s="11"/>
    </row>
    <row r="107" spans="1:30" x14ac:dyDescent="0.3">
      <c r="A107" s="7"/>
      <c r="B107" s="8" t="s">
        <v>85</v>
      </c>
      <c r="C107" s="48" t="s">
        <v>224</v>
      </c>
      <c r="D107" s="48" t="s">
        <v>29</v>
      </c>
      <c r="E107" s="48" t="s">
        <v>177</v>
      </c>
      <c r="F107" s="48" t="s">
        <v>225</v>
      </c>
      <c r="G107" s="48" t="s">
        <v>204</v>
      </c>
      <c r="H107" s="48">
        <v>16</v>
      </c>
      <c r="I107" s="48" t="s">
        <v>205</v>
      </c>
      <c r="J107" s="48">
        <v>1</v>
      </c>
      <c r="K107" s="48">
        <f>SUM(J107:J114)</f>
        <v>8</v>
      </c>
      <c r="L107" s="48"/>
      <c r="M107" s="48"/>
      <c r="N107" s="49">
        <f>8.5-4.5</f>
        <v>4</v>
      </c>
      <c r="O107" s="49">
        <f>N107/K107</f>
        <v>0.5</v>
      </c>
      <c r="P107" s="49">
        <f>$O$107*J107</f>
        <v>0.5</v>
      </c>
      <c r="Q107" s="49">
        <f t="shared" si="37"/>
        <v>4.5999999999999979</v>
      </c>
      <c r="R107" s="49">
        <f t="shared" si="38"/>
        <v>5.0999999999999979</v>
      </c>
      <c r="S107" s="49">
        <f t="shared" si="36"/>
        <v>4.8499999999999979</v>
      </c>
      <c r="T107" s="48">
        <v>9</v>
      </c>
      <c r="U107" s="48">
        <v>-19</v>
      </c>
      <c r="V107" s="48">
        <v>13.1</v>
      </c>
      <c r="W107" s="48">
        <v>12.4</v>
      </c>
      <c r="X107" s="48">
        <v>35.6</v>
      </c>
      <c r="Y107" s="48">
        <v>0.28000000000000003</v>
      </c>
      <c r="Z107" s="48">
        <v>3.3</v>
      </c>
      <c r="AA107" s="48">
        <v>345</v>
      </c>
      <c r="AB107" s="48">
        <v>103</v>
      </c>
      <c r="AC107" s="11"/>
      <c r="AD107" s="11"/>
    </row>
    <row r="108" spans="1:30" x14ac:dyDescent="0.3">
      <c r="A108" s="7"/>
      <c r="B108" s="8"/>
      <c r="C108" s="48" t="s">
        <v>226</v>
      </c>
      <c r="D108" s="48" t="s">
        <v>29</v>
      </c>
      <c r="E108" s="48" t="s">
        <v>177</v>
      </c>
      <c r="F108" s="48" t="s">
        <v>227</v>
      </c>
      <c r="G108" s="48" t="s">
        <v>204</v>
      </c>
      <c r="H108" s="48">
        <v>16</v>
      </c>
      <c r="I108" s="48" t="s">
        <v>205</v>
      </c>
      <c r="J108" s="48">
        <v>1</v>
      </c>
      <c r="K108" s="48"/>
      <c r="L108" s="48"/>
      <c r="M108" s="48"/>
      <c r="N108" s="49"/>
      <c r="O108" s="49"/>
      <c r="P108" s="49">
        <f t="shared" ref="P108:P112" si="40">$O$107*J108</f>
        <v>0.5</v>
      </c>
      <c r="Q108" s="49">
        <f t="shared" si="37"/>
        <v>5.1099999999999977</v>
      </c>
      <c r="R108" s="49">
        <f t="shared" si="38"/>
        <v>5.6099999999999977</v>
      </c>
      <c r="S108" s="49">
        <f t="shared" si="36"/>
        <v>5.3599999999999977</v>
      </c>
      <c r="T108" s="48">
        <v>8.9</v>
      </c>
      <c r="U108" s="48">
        <v>-19.100000000000001</v>
      </c>
      <c r="V108" s="48">
        <v>13.4</v>
      </c>
      <c r="W108" s="48">
        <v>14.5</v>
      </c>
      <c r="X108" s="48">
        <v>41.4</v>
      </c>
      <c r="Y108" s="48">
        <v>0.33</v>
      </c>
      <c r="Z108" s="48">
        <v>3.3</v>
      </c>
      <c r="AA108" s="48">
        <v>330</v>
      </c>
      <c r="AB108" s="48">
        <v>99</v>
      </c>
      <c r="AC108" s="11"/>
      <c r="AD108" s="11"/>
    </row>
    <row r="109" spans="1:30" x14ac:dyDescent="0.3">
      <c r="A109" s="7"/>
      <c r="B109" s="8"/>
      <c r="C109" s="48" t="s">
        <v>228</v>
      </c>
      <c r="D109" s="48" t="s">
        <v>29</v>
      </c>
      <c r="E109" s="48" t="s">
        <v>177</v>
      </c>
      <c r="F109" s="48" t="s">
        <v>229</v>
      </c>
      <c r="G109" s="48" t="s">
        <v>204</v>
      </c>
      <c r="H109" s="48">
        <v>16</v>
      </c>
      <c r="I109" s="48" t="s">
        <v>205</v>
      </c>
      <c r="J109" s="48">
        <v>1</v>
      </c>
      <c r="K109" s="48"/>
      <c r="L109" s="48"/>
      <c r="M109" s="48"/>
      <c r="N109" s="49"/>
      <c r="O109" s="49"/>
      <c r="P109" s="49">
        <f t="shared" si="40"/>
        <v>0.5</v>
      </c>
      <c r="Q109" s="49">
        <f t="shared" si="37"/>
        <v>5.6199999999999974</v>
      </c>
      <c r="R109" s="49">
        <f t="shared" si="38"/>
        <v>6.1199999999999974</v>
      </c>
      <c r="S109" s="49">
        <f t="shared" si="36"/>
        <v>5.8699999999999974</v>
      </c>
      <c r="T109" s="48">
        <v>9.5</v>
      </c>
      <c r="U109" s="48">
        <v>-19.399999999999999</v>
      </c>
      <c r="V109" s="48">
        <v>13.6</v>
      </c>
      <c r="W109" s="48">
        <v>13</v>
      </c>
      <c r="X109" s="48">
        <v>37</v>
      </c>
      <c r="Y109" s="48">
        <v>0.31</v>
      </c>
      <c r="Z109" s="48">
        <v>3.3</v>
      </c>
      <c r="AA109" s="48">
        <v>323</v>
      </c>
      <c r="AB109" s="48">
        <v>97</v>
      </c>
      <c r="AC109" s="11"/>
      <c r="AD109" s="11"/>
    </row>
    <row r="110" spans="1:30" x14ac:dyDescent="0.3">
      <c r="A110" s="7"/>
      <c r="B110" s="8"/>
      <c r="C110" s="48" t="s">
        <v>230</v>
      </c>
      <c r="D110" s="48" t="s">
        <v>29</v>
      </c>
      <c r="E110" s="48" t="s">
        <v>177</v>
      </c>
      <c r="F110" s="48" t="s">
        <v>231</v>
      </c>
      <c r="G110" s="48" t="s">
        <v>204</v>
      </c>
      <c r="H110" s="48">
        <v>16</v>
      </c>
      <c r="I110" s="48" t="s">
        <v>205</v>
      </c>
      <c r="J110" s="48">
        <v>1</v>
      </c>
      <c r="K110" s="48"/>
      <c r="L110" s="48"/>
      <c r="M110" s="48"/>
      <c r="N110" s="49"/>
      <c r="O110" s="49"/>
      <c r="P110" s="49">
        <f>$O$107*J110</f>
        <v>0.5</v>
      </c>
      <c r="Q110" s="49">
        <f t="shared" si="37"/>
        <v>6.1299999999999972</v>
      </c>
      <c r="R110" s="49">
        <f t="shared" si="38"/>
        <v>6.6299999999999972</v>
      </c>
      <c r="S110" s="49">
        <f t="shared" si="36"/>
        <v>6.3799999999999972</v>
      </c>
      <c r="T110" s="48">
        <v>9.5</v>
      </c>
      <c r="U110" s="48">
        <v>-19.8</v>
      </c>
      <c r="V110" s="48">
        <v>12.9</v>
      </c>
      <c r="W110" s="48">
        <v>11.8</v>
      </c>
      <c r="X110" s="48">
        <v>33.799999999999997</v>
      </c>
      <c r="Y110" s="48">
        <v>0.27</v>
      </c>
      <c r="Z110" s="48">
        <v>3.3</v>
      </c>
      <c r="AA110" s="48">
        <v>332</v>
      </c>
      <c r="AB110" s="48">
        <v>99</v>
      </c>
      <c r="AC110" s="11"/>
      <c r="AD110" s="11"/>
    </row>
    <row r="111" spans="1:30" x14ac:dyDescent="0.3">
      <c r="A111" s="7"/>
      <c r="B111" s="8"/>
      <c r="C111" s="48" t="s">
        <v>232</v>
      </c>
      <c r="D111" s="48" t="s">
        <v>29</v>
      </c>
      <c r="E111" s="48" t="s">
        <v>177</v>
      </c>
      <c r="F111" s="48" t="s">
        <v>233</v>
      </c>
      <c r="G111" s="48" t="s">
        <v>204</v>
      </c>
      <c r="H111" s="48">
        <v>16</v>
      </c>
      <c r="I111" s="48" t="s">
        <v>205</v>
      </c>
      <c r="J111" s="48">
        <v>1</v>
      </c>
      <c r="K111" s="48"/>
      <c r="L111" s="48"/>
      <c r="M111" s="48"/>
      <c r="N111" s="49"/>
      <c r="O111" s="49"/>
      <c r="P111" s="49">
        <f t="shared" si="40"/>
        <v>0.5</v>
      </c>
      <c r="Q111" s="49">
        <f>R110+0.01</f>
        <v>6.639999999999997</v>
      </c>
      <c r="R111" s="49">
        <f t="shared" si="38"/>
        <v>7.139999999999997</v>
      </c>
      <c r="S111" s="49">
        <f t="shared" si="36"/>
        <v>6.889999999999997</v>
      </c>
      <c r="T111" s="48">
        <v>9.6999999999999993</v>
      </c>
      <c r="U111" s="48">
        <v>-19.7</v>
      </c>
      <c r="V111" s="48">
        <v>13.1</v>
      </c>
      <c r="W111" s="48">
        <v>10.9</v>
      </c>
      <c r="X111" s="48">
        <v>32.1</v>
      </c>
      <c r="Y111" s="48">
        <v>0.24</v>
      </c>
      <c r="Z111" s="48">
        <v>3.4</v>
      </c>
      <c r="AA111" s="48">
        <v>362</v>
      </c>
      <c r="AB111" s="48">
        <v>106</v>
      </c>
      <c r="AC111" s="11"/>
      <c r="AD111" s="11"/>
    </row>
    <row r="112" spans="1:30" x14ac:dyDescent="0.3">
      <c r="A112" s="7"/>
      <c r="B112" s="8"/>
      <c r="C112" s="48" t="s">
        <v>234</v>
      </c>
      <c r="D112" s="48" t="s">
        <v>29</v>
      </c>
      <c r="E112" s="48" t="s">
        <v>177</v>
      </c>
      <c r="F112" s="48" t="s">
        <v>235</v>
      </c>
      <c r="G112" s="48" t="s">
        <v>204</v>
      </c>
      <c r="H112" s="48">
        <v>16</v>
      </c>
      <c r="I112" s="48" t="s">
        <v>205</v>
      </c>
      <c r="J112" s="48">
        <v>1</v>
      </c>
      <c r="K112" s="48"/>
      <c r="L112" s="48"/>
      <c r="M112" s="48"/>
      <c r="N112" s="49"/>
      <c r="O112" s="49"/>
      <c r="P112" s="49">
        <f t="shared" si="40"/>
        <v>0.5</v>
      </c>
      <c r="Q112" s="49">
        <f t="shared" si="37"/>
        <v>7.1499999999999968</v>
      </c>
      <c r="R112" s="49">
        <f t="shared" si="38"/>
        <v>7.6499999999999968</v>
      </c>
      <c r="S112" s="49">
        <f t="shared" si="36"/>
        <v>7.3999999999999968</v>
      </c>
      <c r="T112" s="48">
        <v>9.5</v>
      </c>
      <c r="U112" s="48">
        <v>-20</v>
      </c>
      <c r="V112" s="48"/>
      <c r="W112" s="48">
        <v>12.7</v>
      </c>
      <c r="X112" s="48">
        <v>36.5</v>
      </c>
      <c r="Y112" s="48"/>
      <c r="Z112" s="48">
        <v>3.3</v>
      </c>
      <c r="AA112" s="48"/>
      <c r="AB112" s="48"/>
      <c r="AC112" s="11"/>
      <c r="AD112" s="11"/>
    </row>
    <row r="113" spans="1:30" x14ac:dyDescent="0.3">
      <c r="A113" s="7"/>
      <c r="B113" s="8"/>
      <c r="C113" s="50"/>
      <c r="D113" s="50"/>
      <c r="E113" s="50"/>
      <c r="F113" s="48" t="s">
        <v>236</v>
      </c>
      <c r="G113" s="48" t="s">
        <v>204</v>
      </c>
      <c r="H113" s="48">
        <v>16</v>
      </c>
      <c r="I113" s="48" t="s">
        <v>205</v>
      </c>
      <c r="J113" s="48">
        <v>1</v>
      </c>
      <c r="K113" s="50"/>
      <c r="L113" s="50"/>
      <c r="M113" s="50"/>
      <c r="N113" s="50"/>
      <c r="O113" s="50"/>
      <c r="P113" s="49">
        <f>$O$107*J113</f>
        <v>0.5</v>
      </c>
      <c r="Q113" s="49">
        <f t="shared" si="37"/>
        <v>7.6599999999999966</v>
      </c>
      <c r="R113" s="49">
        <f t="shared" si="38"/>
        <v>8.1599999999999966</v>
      </c>
      <c r="S113" s="49">
        <f t="shared" si="36"/>
        <v>7.9099999999999966</v>
      </c>
      <c r="T113" s="50"/>
      <c r="U113" s="50"/>
      <c r="V113" s="50"/>
      <c r="W113" s="50"/>
      <c r="X113" s="50"/>
      <c r="Y113" s="50"/>
      <c r="Z113" s="50"/>
      <c r="AA113" s="50"/>
      <c r="AB113" s="50"/>
    </row>
    <row r="114" spans="1:30" x14ac:dyDescent="0.3">
      <c r="A114" s="7"/>
      <c r="B114" s="26" t="s">
        <v>88</v>
      </c>
      <c r="C114" s="51"/>
      <c r="D114" s="51"/>
      <c r="E114" s="51"/>
      <c r="F114" s="48" t="s">
        <v>237</v>
      </c>
      <c r="G114" s="48" t="s">
        <v>204</v>
      </c>
      <c r="H114" s="48">
        <v>16</v>
      </c>
      <c r="I114" s="48" t="s">
        <v>205</v>
      </c>
      <c r="J114" s="48">
        <v>1</v>
      </c>
      <c r="K114" s="51"/>
      <c r="L114" s="51"/>
      <c r="M114" s="51"/>
      <c r="N114" s="48"/>
      <c r="O114" s="48"/>
      <c r="P114" s="49">
        <f>$O$107*J114</f>
        <v>0.5</v>
      </c>
      <c r="Q114" s="49">
        <f>R113+0.01</f>
        <v>8.1699999999999964</v>
      </c>
      <c r="R114" s="49">
        <f t="shared" si="38"/>
        <v>8.6699999999999964</v>
      </c>
      <c r="S114" s="49">
        <f t="shared" si="36"/>
        <v>8.4199999999999964</v>
      </c>
      <c r="T114" s="51"/>
      <c r="U114" s="51"/>
      <c r="V114" s="51"/>
      <c r="W114" s="51"/>
      <c r="X114" s="51"/>
      <c r="Y114" s="51"/>
      <c r="Z114" s="51"/>
      <c r="AA114" s="51"/>
      <c r="AB114" s="51"/>
    </row>
    <row r="115" spans="1:30" x14ac:dyDescent="0.3">
      <c r="A115" s="52"/>
      <c r="B115" s="26"/>
      <c r="C115" s="53"/>
      <c r="D115" s="53"/>
      <c r="E115" s="53"/>
      <c r="F115" s="18" t="s">
        <v>238</v>
      </c>
      <c r="G115" s="18" t="s">
        <v>204</v>
      </c>
      <c r="H115" s="18">
        <v>16</v>
      </c>
      <c r="I115" s="18" t="s">
        <v>205</v>
      </c>
      <c r="J115" s="18">
        <v>1</v>
      </c>
      <c r="K115" s="53">
        <f>SUM(J115:J116)</f>
        <v>2</v>
      </c>
      <c r="L115" s="53"/>
      <c r="M115" s="53"/>
      <c r="N115" s="19">
        <f>9.5-8.5</f>
        <v>1</v>
      </c>
      <c r="O115" s="19">
        <f>N115/K115</f>
        <v>0.5</v>
      </c>
      <c r="P115" s="19">
        <f>$O$115*J115</f>
        <v>0.5</v>
      </c>
      <c r="Q115" s="19">
        <f t="shared" si="37"/>
        <v>8.6799999999999962</v>
      </c>
      <c r="R115" s="19">
        <f t="shared" si="38"/>
        <v>9.1799999999999962</v>
      </c>
      <c r="S115" s="19">
        <f t="shared" si="36"/>
        <v>8.9299999999999962</v>
      </c>
      <c r="T115" s="53"/>
      <c r="U115" s="53"/>
      <c r="V115" s="53"/>
      <c r="W115" s="53"/>
      <c r="X115" s="53"/>
      <c r="Y115" s="53"/>
      <c r="Z115" s="53"/>
      <c r="AA115" s="53"/>
      <c r="AB115" s="53"/>
    </row>
    <row r="116" spans="1:30" x14ac:dyDescent="0.3">
      <c r="A116" s="52"/>
      <c r="B116" s="26"/>
      <c r="C116" s="53"/>
      <c r="D116" s="53"/>
      <c r="E116" s="53"/>
      <c r="F116" s="18" t="s">
        <v>239</v>
      </c>
      <c r="G116" s="18" t="s">
        <v>204</v>
      </c>
      <c r="H116" s="18">
        <v>16</v>
      </c>
      <c r="I116" s="18" t="s">
        <v>205</v>
      </c>
      <c r="J116" s="18">
        <v>1</v>
      </c>
      <c r="K116" s="53"/>
      <c r="L116" s="53"/>
      <c r="M116" s="53"/>
      <c r="N116" s="53"/>
      <c r="O116" s="53"/>
      <c r="P116" s="19">
        <f>$O$115*J116</f>
        <v>0.5</v>
      </c>
      <c r="Q116" s="19">
        <f t="shared" si="37"/>
        <v>9.1899999999999959</v>
      </c>
      <c r="R116" s="19">
        <f t="shared" si="38"/>
        <v>9.6899999999999959</v>
      </c>
      <c r="S116" s="19">
        <f t="shared" si="36"/>
        <v>9.4399999999999959</v>
      </c>
      <c r="T116" s="53"/>
      <c r="U116" s="53"/>
      <c r="V116" s="53"/>
      <c r="W116" s="53"/>
      <c r="X116" s="53"/>
      <c r="Y116" s="53"/>
      <c r="Z116" s="53"/>
      <c r="AA116" s="53"/>
      <c r="AB116" s="53"/>
    </row>
    <row r="118" spans="1:30" ht="72" x14ac:dyDescent="0.3">
      <c r="C118" s="1" t="s">
        <v>0</v>
      </c>
      <c r="D118" s="1" t="s">
        <v>1</v>
      </c>
      <c r="E118" s="1" t="s">
        <v>2</v>
      </c>
      <c r="F118" s="1" t="s">
        <v>3</v>
      </c>
      <c r="G118" s="1" t="s">
        <v>4</v>
      </c>
      <c r="H118" s="1" t="s">
        <v>5</v>
      </c>
      <c r="I118" s="1" t="s">
        <v>6</v>
      </c>
      <c r="J118" s="1" t="s">
        <v>7</v>
      </c>
      <c r="K118" s="1" t="s">
        <v>8</v>
      </c>
      <c r="L118" s="1" t="s">
        <v>9</v>
      </c>
      <c r="M118" s="1" t="s">
        <v>10</v>
      </c>
      <c r="N118" s="1" t="s">
        <v>70</v>
      </c>
      <c r="O118" s="1" t="s">
        <v>12</v>
      </c>
      <c r="P118" s="1" t="s">
        <v>13</v>
      </c>
      <c r="Q118" s="1" t="s">
        <v>14</v>
      </c>
      <c r="R118" s="1" t="s">
        <v>15</v>
      </c>
      <c r="S118" s="1" t="s">
        <v>16</v>
      </c>
      <c r="T118" s="2" t="s">
        <v>17</v>
      </c>
      <c r="U118" s="2" t="s">
        <v>18</v>
      </c>
      <c r="V118" s="2" t="s">
        <v>19</v>
      </c>
      <c r="W118" s="2" t="s">
        <v>20</v>
      </c>
      <c r="X118" s="2" t="s">
        <v>21</v>
      </c>
      <c r="Y118" s="3" t="s">
        <v>22</v>
      </c>
      <c r="Z118" s="1" t="s">
        <v>23</v>
      </c>
      <c r="AA118" s="1" t="s">
        <v>24</v>
      </c>
      <c r="AB118" s="1" t="s">
        <v>25</v>
      </c>
      <c r="AC118" s="12"/>
      <c r="AD118" s="12"/>
    </row>
    <row r="119" spans="1:30" x14ac:dyDescent="0.3">
      <c r="C119" s="4"/>
      <c r="D119" s="4"/>
      <c r="E119" s="4"/>
      <c r="F119" s="4"/>
      <c r="G119" s="4"/>
      <c r="H119" s="4"/>
      <c r="I119" s="4"/>
      <c r="J119" s="4"/>
      <c r="K119" s="29"/>
      <c r="L119" s="5">
        <f>SUM(J120:J131)</f>
        <v>14.5</v>
      </c>
      <c r="M119" s="5">
        <f>23.5-8.5</f>
        <v>15</v>
      </c>
      <c r="N119" s="29"/>
      <c r="O119" s="29"/>
      <c r="P119" s="29"/>
      <c r="Q119" s="29"/>
      <c r="R119" s="29"/>
      <c r="S119" s="29"/>
      <c r="T119" s="5"/>
      <c r="U119" s="5"/>
      <c r="V119" s="5"/>
      <c r="W119" s="5"/>
      <c r="X119" s="5"/>
      <c r="Y119" s="6"/>
      <c r="Z119" s="4"/>
      <c r="AA119" s="4"/>
      <c r="AB119" s="4"/>
    </row>
    <row r="120" spans="1:30" x14ac:dyDescent="0.3">
      <c r="A120" s="7" t="s">
        <v>240</v>
      </c>
      <c r="B120" s="54" t="s">
        <v>27</v>
      </c>
      <c r="C120" s="55" t="s">
        <v>241</v>
      </c>
      <c r="D120" s="55" t="s">
        <v>29</v>
      </c>
      <c r="E120" s="55" t="s">
        <v>177</v>
      </c>
      <c r="F120" s="55" t="s">
        <v>242</v>
      </c>
      <c r="G120" s="55" t="s">
        <v>204</v>
      </c>
      <c r="H120" s="55">
        <v>28</v>
      </c>
      <c r="I120" s="55" t="s">
        <v>243</v>
      </c>
      <c r="J120" s="55">
        <v>1.74</v>
      </c>
      <c r="K120" s="55">
        <f>SUM(J120:J126)</f>
        <v>8.6999999999999993</v>
      </c>
      <c r="L120" s="55"/>
      <c r="M120" s="55"/>
      <c r="N120" s="55">
        <f>13.5-8.5</f>
        <v>5</v>
      </c>
      <c r="O120" s="56">
        <f>N120/K120</f>
        <v>0.57471264367816099</v>
      </c>
      <c r="P120" s="56">
        <f>$O$120*J120</f>
        <v>1.0000000000000002</v>
      </c>
      <c r="Q120" s="56">
        <v>8.5</v>
      </c>
      <c r="R120" s="56">
        <f>Q120+P120</f>
        <v>9.5</v>
      </c>
      <c r="S120" s="56">
        <f>AVERAGE(Q120:R120)</f>
        <v>9</v>
      </c>
      <c r="T120" s="55">
        <v>9.1999999999999993</v>
      </c>
      <c r="U120" s="55">
        <v>-19.8</v>
      </c>
      <c r="V120" s="55">
        <v>13.4</v>
      </c>
      <c r="W120" s="55">
        <v>12.9</v>
      </c>
      <c r="X120" s="55">
        <v>36.9</v>
      </c>
      <c r="Y120" s="55">
        <v>0.19</v>
      </c>
      <c r="Z120" s="55">
        <v>3.3</v>
      </c>
      <c r="AA120" s="55">
        <v>509</v>
      </c>
      <c r="AB120" s="55">
        <v>153</v>
      </c>
      <c r="AC120" s="11"/>
      <c r="AD120" s="11"/>
    </row>
    <row r="121" spans="1:30" x14ac:dyDescent="0.3">
      <c r="A121" s="7"/>
      <c r="B121" s="54"/>
      <c r="C121" s="55" t="s">
        <v>244</v>
      </c>
      <c r="D121" s="55" t="s">
        <v>29</v>
      </c>
      <c r="E121" s="55" t="s">
        <v>177</v>
      </c>
      <c r="F121" s="55" t="s">
        <v>245</v>
      </c>
      <c r="G121" s="55" t="s">
        <v>204</v>
      </c>
      <c r="H121" s="55">
        <v>28</v>
      </c>
      <c r="I121" s="55" t="s">
        <v>243</v>
      </c>
      <c r="J121" s="55">
        <v>1.1599999999999999</v>
      </c>
      <c r="K121" s="55"/>
      <c r="L121" s="55"/>
      <c r="M121" s="55"/>
      <c r="N121" s="55"/>
      <c r="O121" s="56"/>
      <c r="P121" s="56">
        <f t="shared" ref="P121:P126" si="41">$O$120*J121</f>
        <v>0.66666666666666674</v>
      </c>
      <c r="Q121" s="56">
        <f>R120+0.01</f>
        <v>9.51</v>
      </c>
      <c r="R121" s="56">
        <f>Q121+P121</f>
        <v>10.176666666666666</v>
      </c>
      <c r="S121" s="56">
        <f t="shared" ref="S121:S131" si="42">AVERAGE(Q121:R121)</f>
        <v>9.8433333333333337</v>
      </c>
      <c r="T121" s="55">
        <v>8.8000000000000007</v>
      </c>
      <c r="U121" s="55">
        <v>-19.5</v>
      </c>
      <c r="V121" s="55">
        <v>15</v>
      </c>
      <c r="W121" s="55">
        <v>12.3</v>
      </c>
      <c r="X121" s="55">
        <v>34.1</v>
      </c>
      <c r="Y121" s="55">
        <v>0.17</v>
      </c>
      <c r="Z121" s="55">
        <v>3.2</v>
      </c>
      <c r="AA121" s="55">
        <v>526</v>
      </c>
      <c r="AB121" s="55">
        <v>163</v>
      </c>
      <c r="AC121" s="11"/>
      <c r="AD121" s="11"/>
    </row>
    <row r="122" spans="1:30" x14ac:dyDescent="0.3">
      <c r="A122" s="7"/>
      <c r="B122" s="54"/>
      <c r="C122" s="55" t="s">
        <v>246</v>
      </c>
      <c r="D122" s="55" t="s">
        <v>29</v>
      </c>
      <c r="E122" s="55" t="s">
        <v>177</v>
      </c>
      <c r="F122" s="55" t="s">
        <v>247</v>
      </c>
      <c r="G122" s="55" t="s">
        <v>204</v>
      </c>
      <c r="H122" s="55">
        <v>28</v>
      </c>
      <c r="I122" s="55" t="s">
        <v>243</v>
      </c>
      <c r="J122" s="55">
        <v>1.1599999999999999</v>
      </c>
      <c r="K122" s="55"/>
      <c r="L122" s="55"/>
      <c r="M122" s="55"/>
      <c r="N122" s="55"/>
      <c r="O122" s="56"/>
      <c r="P122" s="56">
        <f t="shared" si="41"/>
        <v>0.66666666666666674</v>
      </c>
      <c r="Q122" s="56">
        <f t="shared" ref="Q122:Q131" si="43">R121+0.01</f>
        <v>10.186666666666666</v>
      </c>
      <c r="R122" s="56">
        <f t="shared" ref="R122:R131" si="44">Q122+P122</f>
        <v>10.853333333333332</v>
      </c>
      <c r="S122" s="56">
        <f t="shared" si="42"/>
        <v>10.52</v>
      </c>
      <c r="T122" s="55">
        <v>9.1</v>
      </c>
      <c r="U122" s="55">
        <v>-19.600000000000001</v>
      </c>
      <c r="V122" s="55">
        <v>12.6</v>
      </c>
      <c r="W122" s="55">
        <v>12.6</v>
      </c>
      <c r="X122" s="55">
        <v>35.700000000000003</v>
      </c>
      <c r="Y122" s="55">
        <v>0.19</v>
      </c>
      <c r="Z122" s="55">
        <v>3.3</v>
      </c>
      <c r="AA122" s="55">
        <v>508</v>
      </c>
      <c r="AB122" s="55">
        <v>153</v>
      </c>
      <c r="AC122" s="11"/>
      <c r="AD122" s="11"/>
    </row>
    <row r="123" spans="1:30" x14ac:dyDescent="0.3">
      <c r="A123" s="7"/>
      <c r="B123" s="54"/>
      <c r="C123" s="55" t="s">
        <v>248</v>
      </c>
      <c r="D123" s="55" t="s">
        <v>29</v>
      </c>
      <c r="E123" s="55" t="s">
        <v>177</v>
      </c>
      <c r="F123" s="55" t="s">
        <v>249</v>
      </c>
      <c r="G123" s="55" t="s">
        <v>204</v>
      </c>
      <c r="H123" s="55">
        <v>28</v>
      </c>
      <c r="I123" s="55" t="s">
        <v>243</v>
      </c>
      <c r="J123" s="55">
        <v>1.1599999999999999</v>
      </c>
      <c r="K123" s="55"/>
      <c r="L123" s="55"/>
      <c r="M123" s="55"/>
      <c r="N123" s="55"/>
      <c r="O123" s="56"/>
      <c r="P123" s="56">
        <f t="shared" si="41"/>
        <v>0.66666666666666674</v>
      </c>
      <c r="Q123" s="56">
        <f t="shared" si="43"/>
        <v>10.863333333333332</v>
      </c>
      <c r="R123" s="56">
        <f t="shared" si="44"/>
        <v>11.529999999999998</v>
      </c>
      <c r="S123" s="56">
        <f t="shared" si="42"/>
        <v>11.196666666666665</v>
      </c>
      <c r="T123" s="55">
        <v>9.3000000000000007</v>
      </c>
      <c r="U123" s="55">
        <v>-19.600000000000001</v>
      </c>
      <c r="V123" s="55">
        <v>11.8</v>
      </c>
      <c r="W123" s="55">
        <v>11.9</v>
      </c>
      <c r="X123" s="55">
        <v>34.4</v>
      </c>
      <c r="Y123" s="55">
        <v>0.22</v>
      </c>
      <c r="Z123" s="55">
        <v>3.4</v>
      </c>
      <c r="AA123" s="55">
        <v>413</v>
      </c>
      <c r="AB123" s="55">
        <v>122</v>
      </c>
      <c r="AC123" s="11"/>
      <c r="AD123" s="11"/>
    </row>
    <row r="124" spans="1:30" x14ac:dyDescent="0.3">
      <c r="A124" s="7"/>
      <c r="B124" s="54"/>
      <c r="C124" s="55" t="s">
        <v>250</v>
      </c>
      <c r="D124" s="55" t="s">
        <v>29</v>
      </c>
      <c r="E124" s="55" t="s">
        <v>177</v>
      </c>
      <c r="F124" s="55" t="s">
        <v>251</v>
      </c>
      <c r="G124" s="55" t="s">
        <v>204</v>
      </c>
      <c r="H124" s="55">
        <v>28</v>
      </c>
      <c r="I124" s="55" t="s">
        <v>243</v>
      </c>
      <c r="J124" s="55">
        <v>1.1599999999999999</v>
      </c>
      <c r="K124" s="55"/>
      <c r="L124" s="55"/>
      <c r="M124" s="55"/>
      <c r="N124" s="55"/>
      <c r="O124" s="56"/>
      <c r="P124" s="56">
        <f t="shared" si="41"/>
        <v>0.66666666666666674</v>
      </c>
      <c r="Q124" s="56">
        <f t="shared" si="43"/>
        <v>11.539999999999997</v>
      </c>
      <c r="R124" s="56">
        <f t="shared" si="44"/>
        <v>12.206666666666663</v>
      </c>
      <c r="S124" s="56">
        <f t="shared" si="42"/>
        <v>11.873333333333331</v>
      </c>
      <c r="T124" s="55">
        <v>9.3000000000000007</v>
      </c>
      <c r="U124" s="55">
        <v>-20</v>
      </c>
      <c r="V124" s="55">
        <v>11.3</v>
      </c>
      <c r="W124" s="55">
        <v>10.5</v>
      </c>
      <c r="X124" s="55">
        <v>30</v>
      </c>
      <c r="Y124" s="55">
        <v>0.2</v>
      </c>
      <c r="Z124" s="55">
        <v>3.3</v>
      </c>
      <c r="AA124" s="55">
        <v>401</v>
      </c>
      <c r="AB124" s="55">
        <v>121</v>
      </c>
      <c r="AC124" s="11"/>
      <c r="AD124" s="11"/>
    </row>
    <row r="125" spans="1:30" x14ac:dyDescent="0.3">
      <c r="A125" s="7"/>
      <c r="B125" s="54"/>
      <c r="C125" s="55" t="s">
        <v>252</v>
      </c>
      <c r="D125" s="55" t="s">
        <v>29</v>
      </c>
      <c r="E125" s="55" t="s">
        <v>177</v>
      </c>
      <c r="F125" s="55" t="s">
        <v>253</v>
      </c>
      <c r="G125" s="55" t="s">
        <v>204</v>
      </c>
      <c r="H125" s="55">
        <v>28</v>
      </c>
      <c r="I125" s="55" t="s">
        <v>243</v>
      </c>
      <c r="J125" s="55">
        <v>1.1599999999999999</v>
      </c>
      <c r="K125" s="55"/>
      <c r="L125" s="55"/>
      <c r="M125" s="55"/>
      <c r="N125" s="55"/>
      <c r="O125" s="56"/>
      <c r="P125" s="56">
        <f t="shared" si="41"/>
        <v>0.66666666666666674</v>
      </c>
      <c r="Q125" s="56">
        <f t="shared" si="43"/>
        <v>12.216666666666663</v>
      </c>
      <c r="R125" s="56">
        <f t="shared" si="44"/>
        <v>12.883333333333329</v>
      </c>
      <c r="S125" s="56">
        <f t="shared" si="42"/>
        <v>12.549999999999997</v>
      </c>
      <c r="T125" s="55">
        <v>9.5</v>
      </c>
      <c r="U125" s="55">
        <v>-20.100000000000001</v>
      </c>
      <c r="V125" s="55">
        <v>11.5</v>
      </c>
      <c r="W125" s="55">
        <v>8.8000000000000007</v>
      </c>
      <c r="X125" s="55">
        <v>26.2</v>
      </c>
      <c r="Y125" s="55">
        <v>0.22</v>
      </c>
      <c r="Z125" s="55">
        <v>3.5</v>
      </c>
      <c r="AA125" s="55">
        <v>320</v>
      </c>
      <c r="AB125" s="55">
        <v>92</v>
      </c>
      <c r="AC125" s="11"/>
      <c r="AD125" s="11"/>
    </row>
    <row r="126" spans="1:30" x14ac:dyDescent="0.3">
      <c r="A126" s="7"/>
      <c r="B126" s="15"/>
      <c r="C126" s="15" t="s">
        <v>254</v>
      </c>
      <c r="D126" s="15" t="s">
        <v>29</v>
      </c>
      <c r="E126" s="15" t="s">
        <v>177</v>
      </c>
      <c r="F126" s="15" t="s">
        <v>255</v>
      </c>
      <c r="G126" s="15" t="s">
        <v>204</v>
      </c>
      <c r="H126" s="15">
        <v>28</v>
      </c>
      <c r="I126" s="15" t="s">
        <v>243</v>
      </c>
      <c r="J126" s="15">
        <v>1.1599999999999999</v>
      </c>
      <c r="K126" s="15"/>
      <c r="L126" s="15"/>
      <c r="M126" s="15"/>
      <c r="N126" s="15"/>
      <c r="O126" s="57"/>
      <c r="P126" s="57">
        <f t="shared" si="41"/>
        <v>0.66666666666666674</v>
      </c>
      <c r="Q126" s="57">
        <f t="shared" si="43"/>
        <v>12.893333333333329</v>
      </c>
      <c r="R126" s="57">
        <f t="shared" si="44"/>
        <v>13.559999999999995</v>
      </c>
      <c r="S126" s="57">
        <f t="shared" si="42"/>
        <v>13.226666666666663</v>
      </c>
      <c r="T126" s="15">
        <v>9.6999999999999993</v>
      </c>
      <c r="U126" s="15">
        <v>-20.100000000000001</v>
      </c>
      <c r="V126" s="15">
        <v>11.6</v>
      </c>
      <c r="W126" s="15">
        <v>9.6999999999999993</v>
      </c>
      <c r="X126" s="15">
        <v>28.6</v>
      </c>
      <c r="Y126" s="15">
        <v>0.19</v>
      </c>
      <c r="Z126" s="15">
        <v>3.4</v>
      </c>
      <c r="AA126" s="15">
        <v>395</v>
      </c>
      <c r="AB126" s="15">
        <v>115</v>
      </c>
      <c r="AC126" s="11"/>
      <c r="AD126" s="11"/>
    </row>
    <row r="127" spans="1:30" x14ac:dyDescent="0.3">
      <c r="A127" s="7"/>
      <c r="B127" s="58" t="s">
        <v>44</v>
      </c>
      <c r="C127" s="59" t="s">
        <v>256</v>
      </c>
      <c r="D127" s="59" t="s">
        <v>29</v>
      </c>
      <c r="E127" s="59" t="s">
        <v>177</v>
      </c>
      <c r="F127" s="59" t="s">
        <v>257</v>
      </c>
      <c r="G127" s="59" t="s">
        <v>204</v>
      </c>
      <c r="H127" s="59">
        <v>28</v>
      </c>
      <c r="I127" s="59" t="s">
        <v>243</v>
      </c>
      <c r="J127" s="59">
        <v>1.1599999999999999</v>
      </c>
      <c r="K127" s="59">
        <f>SUM(J127:J128)</f>
        <v>2.3199999999999998</v>
      </c>
      <c r="L127" s="59"/>
      <c r="M127" s="59"/>
      <c r="N127" s="59">
        <f>14.5-13.5</f>
        <v>1</v>
      </c>
      <c r="O127" s="60">
        <f>N127/K127</f>
        <v>0.43103448275862072</v>
      </c>
      <c r="P127" s="60">
        <f>$O$127*J127</f>
        <v>0.5</v>
      </c>
      <c r="Q127" s="60">
        <f t="shared" si="43"/>
        <v>13.569999999999995</v>
      </c>
      <c r="R127" s="60">
        <f t="shared" si="44"/>
        <v>14.069999999999995</v>
      </c>
      <c r="S127" s="60">
        <f t="shared" si="42"/>
        <v>13.819999999999995</v>
      </c>
      <c r="T127" s="59">
        <v>9.6</v>
      </c>
      <c r="U127" s="59">
        <v>-20.3</v>
      </c>
      <c r="V127" s="59">
        <v>11.4</v>
      </c>
      <c r="W127" s="59">
        <v>8.6</v>
      </c>
      <c r="X127" s="59">
        <v>25.2</v>
      </c>
      <c r="Y127" s="59">
        <v>0.19</v>
      </c>
      <c r="Z127" s="59">
        <v>3.4</v>
      </c>
      <c r="AA127" s="59">
        <v>351</v>
      </c>
      <c r="AB127" s="59">
        <v>103</v>
      </c>
      <c r="AC127" s="11"/>
      <c r="AD127" s="11"/>
    </row>
    <row r="128" spans="1:30" x14ac:dyDescent="0.3">
      <c r="A128" s="7"/>
      <c r="B128" s="22"/>
      <c r="C128" s="22" t="s">
        <v>258</v>
      </c>
      <c r="D128" s="22" t="s">
        <v>29</v>
      </c>
      <c r="E128" s="22" t="s">
        <v>177</v>
      </c>
      <c r="F128" s="22" t="s">
        <v>259</v>
      </c>
      <c r="G128" s="22" t="s">
        <v>204</v>
      </c>
      <c r="H128" s="22">
        <v>28</v>
      </c>
      <c r="I128" s="22" t="s">
        <v>243</v>
      </c>
      <c r="J128" s="22">
        <v>1.1599999999999999</v>
      </c>
      <c r="K128" s="22"/>
      <c r="L128" s="22"/>
      <c r="M128" s="22"/>
      <c r="N128" s="22"/>
      <c r="O128" s="61"/>
      <c r="P128" s="61">
        <f>$O$127*J128</f>
        <v>0.5</v>
      </c>
      <c r="Q128" s="61">
        <f t="shared" si="43"/>
        <v>14.079999999999995</v>
      </c>
      <c r="R128" s="61">
        <f t="shared" si="44"/>
        <v>14.579999999999995</v>
      </c>
      <c r="S128" s="61">
        <f t="shared" si="42"/>
        <v>14.329999999999995</v>
      </c>
      <c r="T128" s="22">
        <v>10.1</v>
      </c>
      <c r="U128" s="22">
        <v>-20.100000000000001</v>
      </c>
      <c r="V128" s="22">
        <v>11.2</v>
      </c>
      <c r="W128" s="22">
        <v>9.1</v>
      </c>
      <c r="X128" s="22">
        <v>26.9</v>
      </c>
      <c r="Y128" s="22">
        <v>0.19</v>
      </c>
      <c r="Z128" s="22">
        <v>3.5</v>
      </c>
      <c r="AA128" s="22">
        <v>375</v>
      </c>
      <c r="AB128" s="22">
        <v>108</v>
      </c>
      <c r="AC128" s="11"/>
      <c r="AD128" s="11"/>
    </row>
    <row r="129" spans="1:30" x14ac:dyDescent="0.3">
      <c r="A129" s="7"/>
      <c r="B129" s="62" t="s">
        <v>85</v>
      </c>
      <c r="C129" s="51" t="s">
        <v>260</v>
      </c>
      <c r="D129" s="51" t="s">
        <v>29</v>
      </c>
      <c r="E129" s="51" t="s">
        <v>177</v>
      </c>
      <c r="F129" s="51" t="s">
        <v>261</v>
      </c>
      <c r="G129" s="51" t="s">
        <v>204</v>
      </c>
      <c r="H129" s="51">
        <v>28</v>
      </c>
      <c r="I129" s="51" t="s">
        <v>243</v>
      </c>
      <c r="J129" s="51">
        <v>1.1599999999999999</v>
      </c>
      <c r="K129" s="51">
        <f>SUM(J129:J130)</f>
        <v>2.3199999999999998</v>
      </c>
      <c r="L129" s="51"/>
      <c r="M129" s="51"/>
      <c r="N129" s="51">
        <f>19.5-14.5</f>
        <v>5</v>
      </c>
      <c r="O129" s="63">
        <f>N129/K129</f>
        <v>2.1551724137931036</v>
      </c>
      <c r="P129" s="63">
        <f>$O$129*J129</f>
        <v>2.5</v>
      </c>
      <c r="Q129" s="63">
        <f t="shared" si="43"/>
        <v>14.589999999999995</v>
      </c>
      <c r="R129" s="63">
        <f t="shared" si="44"/>
        <v>17.089999999999996</v>
      </c>
      <c r="S129" s="63">
        <f t="shared" si="42"/>
        <v>15.839999999999996</v>
      </c>
      <c r="T129" s="51">
        <v>9.6</v>
      </c>
      <c r="U129" s="51">
        <v>-20.399999999999999</v>
      </c>
      <c r="V129" s="51"/>
      <c r="W129" s="51">
        <v>9.1999999999999993</v>
      </c>
      <c r="X129" s="51">
        <v>27.2</v>
      </c>
      <c r="Y129" s="51"/>
      <c r="Z129" s="51">
        <v>3.4</v>
      </c>
      <c r="AA129" s="51"/>
      <c r="AB129" s="51"/>
      <c r="AC129" s="11"/>
      <c r="AD129" s="11"/>
    </row>
    <row r="130" spans="1:30" x14ac:dyDescent="0.3">
      <c r="A130" s="7"/>
      <c r="B130" s="62"/>
      <c r="C130" s="51" t="s">
        <v>262</v>
      </c>
      <c r="D130" s="51" t="s">
        <v>29</v>
      </c>
      <c r="E130" s="51" t="s">
        <v>177</v>
      </c>
      <c r="F130" s="51" t="s">
        <v>263</v>
      </c>
      <c r="G130" s="51" t="s">
        <v>204</v>
      </c>
      <c r="H130" s="51">
        <v>28</v>
      </c>
      <c r="I130" s="51" t="s">
        <v>243</v>
      </c>
      <c r="J130" s="51">
        <v>1.1599999999999999</v>
      </c>
      <c r="K130" s="51"/>
      <c r="L130" s="51"/>
      <c r="M130" s="51"/>
      <c r="N130" s="51"/>
      <c r="O130" s="63"/>
      <c r="P130" s="63">
        <f t="shared" ref="P130" si="45">$O$129*J130</f>
        <v>2.5</v>
      </c>
      <c r="Q130" s="63">
        <f t="shared" si="43"/>
        <v>17.099999999999998</v>
      </c>
      <c r="R130" s="63">
        <f t="shared" si="44"/>
        <v>19.599999999999998</v>
      </c>
      <c r="S130" s="63">
        <f t="shared" si="42"/>
        <v>18.349999999999998</v>
      </c>
      <c r="T130" s="51">
        <v>9.3000000000000007</v>
      </c>
      <c r="U130" s="51">
        <v>-20.3</v>
      </c>
      <c r="V130" s="51"/>
      <c r="W130" s="51">
        <v>10.199999999999999</v>
      </c>
      <c r="X130" s="51">
        <v>29.5</v>
      </c>
      <c r="Y130" s="51"/>
      <c r="Z130" s="51">
        <v>3.4</v>
      </c>
      <c r="AA130" s="51"/>
      <c r="AB130" s="51"/>
      <c r="AC130" s="11"/>
      <c r="AD130" s="11"/>
    </row>
    <row r="131" spans="1:30" x14ac:dyDescent="0.3">
      <c r="A131" s="7"/>
      <c r="B131" s="64" t="s">
        <v>88</v>
      </c>
      <c r="C131" s="53" t="s">
        <v>264</v>
      </c>
      <c r="D131" s="53" t="s">
        <v>29</v>
      </c>
      <c r="E131" s="53" t="s">
        <v>177</v>
      </c>
      <c r="F131" s="53" t="s">
        <v>265</v>
      </c>
      <c r="G131" s="53" t="s">
        <v>204</v>
      </c>
      <c r="H131" s="53">
        <v>28</v>
      </c>
      <c r="I131" s="53" t="s">
        <v>243</v>
      </c>
      <c r="J131" s="53">
        <v>1.1599999999999999</v>
      </c>
      <c r="K131" s="53">
        <f>J131</f>
        <v>1.1599999999999999</v>
      </c>
      <c r="L131" s="53"/>
      <c r="M131" s="53"/>
      <c r="N131" s="53">
        <f>23.5-19.5</f>
        <v>4</v>
      </c>
      <c r="O131" s="65">
        <f>N131/K131</f>
        <v>3.4482758620689657</v>
      </c>
      <c r="P131" s="65">
        <f>$O$131*J131</f>
        <v>4</v>
      </c>
      <c r="Q131" s="65">
        <f t="shared" si="43"/>
        <v>19.61</v>
      </c>
      <c r="R131" s="65">
        <f t="shared" si="44"/>
        <v>23.61</v>
      </c>
      <c r="S131" s="65">
        <f t="shared" si="42"/>
        <v>21.61</v>
      </c>
      <c r="T131" s="53">
        <v>7.9</v>
      </c>
      <c r="U131" s="53">
        <v>-21.4</v>
      </c>
      <c r="V131" s="53"/>
      <c r="W131" s="53">
        <v>10.5</v>
      </c>
      <c r="X131" s="53">
        <v>30.4</v>
      </c>
      <c r="Y131" s="53"/>
      <c r="Z131" s="53">
        <v>3.4</v>
      </c>
      <c r="AA131" s="53"/>
      <c r="AB131" s="53"/>
      <c r="AC131" s="11"/>
      <c r="AD131" s="11"/>
    </row>
    <row r="133" spans="1:30" ht="72" x14ac:dyDescent="0.3">
      <c r="C133" s="1" t="s">
        <v>0</v>
      </c>
      <c r="D133" s="1" t="s">
        <v>1</v>
      </c>
      <c r="E133" s="1" t="s">
        <v>2</v>
      </c>
      <c r="F133" s="1" t="s">
        <v>3</v>
      </c>
      <c r="G133" s="1" t="s">
        <v>4</v>
      </c>
      <c r="H133" s="1" t="s">
        <v>5</v>
      </c>
      <c r="I133" s="1" t="s">
        <v>6</v>
      </c>
      <c r="J133" s="1" t="s">
        <v>7</v>
      </c>
      <c r="K133" s="1" t="s">
        <v>8</v>
      </c>
      <c r="L133" s="1" t="s">
        <v>9</v>
      </c>
      <c r="M133" s="1" t="s">
        <v>10</v>
      </c>
      <c r="N133" s="1" t="s">
        <v>70</v>
      </c>
      <c r="O133" s="1" t="s">
        <v>12</v>
      </c>
      <c r="P133" s="1" t="s">
        <v>13</v>
      </c>
      <c r="Q133" s="1" t="s">
        <v>14</v>
      </c>
      <c r="R133" s="1" t="s">
        <v>15</v>
      </c>
      <c r="S133" s="1" t="s">
        <v>16</v>
      </c>
      <c r="T133" s="2" t="s">
        <v>17</v>
      </c>
      <c r="U133" s="2" t="s">
        <v>18</v>
      </c>
      <c r="V133" s="2" t="s">
        <v>19</v>
      </c>
      <c r="W133" s="2" t="s">
        <v>20</v>
      </c>
      <c r="X133" s="2" t="s">
        <v>21</v>
      </c>
      <c r="Y133" s="3" t="s">
        <v>22</v>
      </c>
      <c r="Z133" s="1" t="s">
        <v>23</v>
      </c>
      <c r="AA133" s="1" t="s">
        <v>24</v>
      </c>
      <c r="AB133" s="1" t="s">
        <v>25</v>
      </c>
      <c r="AC133" s="12"/>
      <c r="AD133" s="12"/>
    </row>
    <row r="134" spans="1:30" x14ac:dyDescent="0.3">
      <c r="C134" s="4"/>
      <c r="D134" s="4"/>
      <c r="E134" s="4"/>
      <c r="F134" s="4"/>
      <c r="G134" s="4"/>
      <c r="H134" s="4"/>
      <c r="I134" s="4"/>
      <c r="J134" s="4"/>
      <c r="K134" s="29"/>
      <c r="L134" s="5">
        <v>15</v>
      </c>
      <c r="M134" s="4">
        <f>10-0.3</f>
        <v>9.6999999999999993</v>
      </c>
      <c r="N134" s="29"/>
      <c r="O134" s="29"/>
      <c r="P134" s="29"/>
      <c r="Q134" s="29"/>
      <c r="R134" s="29"/>
      <c r="S134" s="29"/>
      <c r="T134" s="5"/>
      <c r="U134" s="5"/>
      <c r="V134" s="5"/>
      <c r="W134" s="5"/>
      <c r="X134" s="5"/>
      <c r="Y134" s="6"/>
      <c r="Z134" s="4"/>
      <c r="AA134" s="4"/>
      <c r="AB134" s="4"/>
    </row>
    <row r="135" spans="1:30" ht="15" customHeight="1" x14ac:dyDescent="0.3">
      <c r="A135" s="7" t="s">
        <v>266</v>
      </c>
      <c r="B135" s="66" t="s">
        <v>267</v>
      </c>
      <c r="D135" t="s">
        <v>268</v>
      </c>
      <c r="E135" t="s">
        <v>177</v>
      </c>
      <c r="F135" s="67" t="s">
        <v>269</v>
      </c>
      <c r="G135" t="s">
        <v>270</v>
      </c>
      <c r="H135">
        <v>26</v>
      </c>
      <c r="I135" t="s">
        <v>271</v>
      </c>
      <c r="J135" s="68">
        <v>1</v>
      </c>
      <c r="N135" s="11">
        <f>M134/L134</f>
        <v>0.64666666666666661</v>
      </c>
      <c r="P135" s="11">
        <f>$N$135*J135</f>
        <v>0.64666666666666661</v>
      </c>
      <c r="Q135" s="11">
        <v>0.375</v>
      </c>
      <c r="R135" s="11">
        <f>Q135+P135</f>
        <v>1.0216666666666665</v>
      </c>
      <c r="S135" s="11">
        <f>AVERAGE(Q135:R135)</f>
        <v>0.69833333333333325</v>
      </c>
      <c r="T135" s="11"/>
      <c r="U135" s="11"/>
      <c r="V135" s="11"/>
      <c r="W135" s="11"/>
      <c r="X135" s="11"/>
      <c r="Y135" s="12"/>
      <c r="Z135" s="11"/>
      <c r="AC135" s="11"/>
      <c r="AD135" s="11"/>
    </row>
    <row r="136" spans="1:30" x14ac:dyDescent="0.3">
      <c r="A136" s="7"/>
      <c r="B136" s="66"/>
      <c r="D136" t="s">
        <v>268</v>
      </c>
      <c r="E136" t="s">
        <v>177</v>
      </c>
      <c r="F136" s="67" t="s">
        <v>272</v>
      </c>
      <c r="G136" t="s">
        <v>270</v>
      </c>
      <c r="H136">
        <v>26</v>
      </c>
      <c r="I136" t="s">
        <v>271</v>
      </c>
      <c r="J136" s="69">
        <v>1</v>
      </c>
      <c r="P136" s="11">
        <f t="shared" ref="P136:P148" si="46">$N$135*J136</f>
        <v>0.64666666666666661</v>
      </c>
      <c r="Q136" s="11">
        <f>R135+0.01</f>
        <v>1.0316666666666665</v>
      </c>
      <c r="R136" s="11">
        <f>Q136+P136</f>
        <v>1.6783333333333332</v>
      </c>
      <c r="S136" s="11">
        <f t="shared" ref="S136:S148" si="47">AVERAGE(Q136:R136)</f>
        <v>1.355</v>
      </c>
      <c r="T136" s="69">
        <v>13.371</v>
      </c>
      <c r="U136" s="69">
        <v>-18.5062</v>
      </c>
      <c r="V136" s="11"/>
      <c r="W136" s="69">
        <v>13.612836254809746</v>
      </c>
      <c r="X136" s="69">
        <v>38.405555555555551</v>
      </c>
      <c r="Y136" s="12"/>
      <c r="Z136" s="70">
        <f>(X136/W136)*(14/12)</f>
        <v>3.2914875814840023</v>
      </c>
      <c r="AC136" s="11"/>
      <c r="AD136" s="11"/>
    </row>
    <row r="137" spans="1:30" x14ac:dyDescent="0.3">
      <c r="A137" s="7"/>
      <c r="B137" s="66"/>
      <c r="D137" t="s">
        <v>268</v>
      </c>
      <c r="E137" t="s">
        <v>177</v>
      </c>
      <c r="F137" s="67" t="s">
        <v>273</v>
      </c>
      <c r="G137" t="s">
        <v>270</v>
      </c>
      <c r="H137">
        <v>26</v>
      </c>
      <c r="I137" t="s">
        <v>271</v>
      </c>
      <c r="J137" s="69">
        <v>1</v>
      </c>
      <c r="P137" s="11">
        <f t="shared" si="46"/>
        <v>0.64666666666666661</v>
      </c>
      <c r="Q137" s="11">
        <f t="shared" ref="Q137:Q148" si="48">R136+0.01</f>
        <v>1.6883333333333332</v>
      </c>
      <c r="R137" s="11">
        <f t="shared" ref="R137:R148" si="49">Q137+P137</f>
        <v>2.335</v>
      </c>
      <c r="S137" s="11">
        <f t="shared" si="47"/>
        <v>2.0116666666666667</v>
      </c>
      <c r="T137" s="69">
        <v>13.123200000000001</v>
      </c>
      <c r="U137" s="69">
        <v>-18.656099999999999</v>
      </c>
      <c r="V137" s="11"/>
      <c r="W137" s="69">
        <v>15.531247541684484</v>
      </c>
      <c r="X137" s="69">
        <v>44.43333333333333</v>
      </c>
      <c r="Y137" s="12"/>
      <c r="Z137" s="70">
        <f t="shared" ref="Z137:Z148" si="50">(X137/W137)*(14/12)</f>
        <v>3.3377157082686328</v>
      </c>
      <c r="AC137" s="11"/>
      <c r="AD137" s="11"/>
    </row>
    <row r="138" spans="1:30" x14ac:dyDescent="0.3">
      <c r="A138" s="7"/>
      <c r="B138" s="66"/>
      <c r="D138" t="s">
        <v>268</v>
      </c>
      <c r="E138" t="s">
        <v>177</v>
      </c>
      <c r="F138" s="67" t="s">
        <v>274</v>
      </c>
      <c r="G138" t="s">
        <v>270</v>
      </c>
      <c r="H138">
        <v>26</v>
      </c>
      <c r="I138" t="s">
        <v>271</v>
      </c>
      <c r="J138" s="69">
        <v>1</v>
      </c>
      <c r="P138" s="11">
        <f t="shared" si="46"/>
        <v>0.64666666666666661</v>
      </c>
      <c r="Q138" s="11">
        <f t="shared" si="48"/>
        <v>2.3449999999999998</v>
      </c>
      <c r="R138" s="11">
        <f t="shared" si="49"/>
        <v>2.9916666666666663</v>
      </c>
      <c r="S138" s="11">
        <f t="shared" si="47"/>
        <v>2.668333333333333</v>
      </c>
      <c r="T138" s="69">
        <v>11.5787</v>
      </c>
      <c r="U138" s="69">
        <v>-19.239999999999998</v>
      </c>
      <c r="V138" s="11"/>
      <c r="W138" s="69">
        <v>10.616961094484827</v>
      </c>
      <c r="X138" s="69">
        <v>30.483333333333341</v>
      </c>
      <c r="Y138" s="12"/>
      <c r="Z138" s="70">
        <f t="shared" si="50"/>
        <v>3.3497239532471501</v>
      </c>
      <c r="AC138" s="11"/>
      <c r="AD138" s="11"/>
    </row>
    <row r="139" spans="1:30" x14ac:dyDescent="0.3">
      <c r="A139" s="7"/>
      <c r="B139" s="66"/>
      <c r="D139" t="s">
        <v>268</v>
      </c>
      <c r="E139" t="s">
        <v>177</v>
      </c>
      <c r="F139" s="67" t="s">
        <v>275</v>
      </c>
      <c r="G139" t="s">
        <v>270</v>
      </c>
      <c r="H139">
        <v>26</v>
      </c>
      <c r="I139" t="s">
        <v>271</v>
      </c>
      <c r="J139" s="69">
        <v>1</v>
      </c>
      <c r="P139" s="11">
        <f t="shared" si="46"/>
        <v>0.64666666666666661</v>
      </c>
      <c r="Q139" s="11">
        <f t="shared" si="48"/>
        <v>3.001666666666666</v>
      </c>
      <c r="R139" s="11">
        <f t="shared" si="49"/>
        <v>3.6483333333333325</v>
      </c>
      <c r="S139" s="11">
        <f t="shared" si="47"/>
        <v>3.3249999999999993</v>
      </c>
      <c r="T139" s="69">
        <v>10.9152</v>
      </c>
      <c r="U139" s="69">
        <v>-19.280799999999999</v>
      </c>
      <c r="V139" s="11"/>
      <c r="W139" s="69">
        <v>10.992384046906494</v>
      </c>
      <c r="X139" s="69">
        <v>31</v>
      </c>
      <c r="Y139" s="12"/>
      <c r="Z139" s="70">
        <f t="shared" si="50"/>
        <v>3.2901567587465057</v>
      </c>
      <c r="AC139" s="11"/>
      <c r="AD139" s="11"/>
    </row>
    <row r="140" spans="1:30" x14ac:dyDescent="0.3">
      <c r="A140" s="7"/>
      <c r="B140" s="66"/>
      <c r="D140" t="s">
        <v>268</v>
      </c>
      <c r="E140" t="s">
        <v>177</v>
      </c>
      <c r="F140" s="67" t="s">
        <v>276</v>
      </c>
      <c r="G140" t="s">
        <v>270</v>
      </c>
      <c r="H140">
        <v>26</v>
      </c>
      <c r="I140" t="s">
        <v>271</v>
      </c>
      <c r="J140" s="69">
        <v>1</v>
      </c>
      <c r="P140" s="11">
        <f t="shared" si="46"/>
        <v>0.64666666666666661</v>
      </c>
      <c r="Q140" s="11">
        <f t="shared" si="48"/>
        <v>3.6583333333333323</v>
      </c>
      <c r="R140" s="11">
        <f t="shared" si="49"/>
        <v>4.3049999999999988</v>
      </c>
      <c r="S140" s="11">
        <f t="shared" si="47"/>
        <v>3.9816666666666656</v>
      </c>
      <c r="T140" s="69">
        <v>10.3116</v>
      </c>
      <c r="U140" s="69">
        <v>-19.6479</v>
      </c>
      <c r="V140" s="11"/>
      <c r="W140" s="69">
        <v>10.848221633176575</v>
      </c>
      <c r="X140" s="69">
        <v>31.206666666666667</v>
      </c>
      <c r="Y140" s="12"/>
      <c r="Z140" s="70">
        <f t="shared" si="50"/>
        <v>3.3561056372994527</v>
      </c>
      <c r="AC140" s="11"/>
      <c r="AD140" s="11"/>
    </row>
    <row r="141" spans="1:30" x14ac:dyDescent="0.3">
      <c r="A141" s="7"/>
      <c r="B141" s="66"/>
      <c r="D141" t="s">
        <v>268</v>
      </c>
      <c r="E141" t="s">
        <v>177</v>
      </c>
      <c r="F141" s="67" t="s">
        <v>277</v>
      </c>
      <c r="G141" t="s">
        <v>270</v>
      </c>
      <c r="H141">
        <v>26</v>
      </c>
      <c r="I141" t="s">
        <v>271</v>
      </c>
      <c r="J141" s="68">
        <v>2</v>
      </c>
      <c r="P141" s="11">
        <f t="shared" si="46"/>
        <v>1.2933333333333332</v>
      </c>
      <c r="Q141" s="11">
        <f t="shared" si="48"/>
        <v>4.3149999999999986</v>
      </c>
      <c r="R141" s="11">
        <f t="shared" si="49"/>
        <v>5.6083333333333316</v>
      </c>
      <c r="S141" s="11">
        <f t="shared" si="47"/>
        <v>4.9616666666666651</v>
      </c>
      <c r="T141" s="69">
        <v>10.2719</v>
      </c>
      <c r="U141" s="69">
        <v>-19.6219</v>
      </c>
      <c r="V141" s="11"/>
      <c r="W141" s="69">
        <v>12.561651988029073</v>
      </c>
      <c r="X141" s="69">
        <v>35.994444444444454</v>
      </c>
      <c r="Y141" s="12"/>
      <c r="Z141" s="70">
        <f t="shared" si="50"/>
        <v>3.342993306814841</v>
      </c>
      <c r="AC141" s="11"/>
      <c r="AD141" s="11"/>
    </row>
    <row r="142" spans="1:30" x14ac:dyDescent="0.3">
      <c r="A142" s="7"/>
      <c r="B142" s="66"/>
      <c r="D142" t="s">
        <v>268</v>
      </c>
      <c r="E142" t="s">
        <v>177</v>
      </c>
      <c r="F142" s="67" t="s">
        <v>278</v>
      </c>
      <c r="G142" t="s">
        <v>270</v>
      </c>
      <c r="H142">
        <v>26</v>
      </c>
      <c r="I142" t="s">
        <v>271</v>
      </c>
      <c r="J142" s="69">
        <v>1</v>
      </c>
      <c r="P142" s="11">
        <f t="shared" si="46"/>
        <v>0.64666666666666661</v>
      </c>
      <c r="Q142" s="11">
        <f t="shared" si="48"/>
        <v>5.6183333333333314</v>
      </c>
      <c r="R142" s="11">
        <f t="shared" si="49"/>
        <v>6.2649999999999979</v>
      </c>
      <c r="S142" s="11">
        <f t="shared" si="47"/>
        <v>5.9416666666666647</v>
      </c>
      <c r="T142" s="69">
        <v>10.216699999999999</v>
      </c>
      <c r="U142" s="69">
        <v>-19.672000000000001</v>
      </c>
      <c r="V142" s="11"/>
      <c r="W142" s="69">
        <v>12.456533561351007</v>
      </c>
      <c r="X142" s="69">
        <v>35.82222222222223</v>
      </c>
      <c r="Y142" s="12"/>
      <c r="Z142" s="70">
        <f t="shared" si="50"/>
        <v>3.3550740570605324</v>
      </c>
      <c r="AC142" s="11"/>
      <c r="AD142" s="11"/>
    </row>
    <row r="143" spans="1:30" x14ac:dyDescent="0.3">
      <c r="A143" s="7"/>
      <c r="B143" s="66"/>
      <c r="D143" t="s">
        <v>268</v>
      </c>
      <c r="E143" t="s">
        <v>177</v>
      </c>
      <c r="F143" s="67" t="s">
        <v>279</v>
      </c>
      <c r="G143" t="s">
        <v>270</v>
      </c>
      <c r="H143">
        <v>26</v>
      </c>
      <c r="I143" t="s">
        <v>271</v>
      </c>
      <c r="J143" s="69">
        <v>1</v>
      </c>
      <c r="P143" s="11">
        <f t="shared" si="46"/>
        <v>0.64666666666666661</v>
      </c>
      <c r="Q143" s="11">
        <f t="shared" si="48"/>
        <v>6.2749999999999977</v>
      </c>
      <c r="R143" s="11">
        <f t="shared" si="49"/>
        <v>6.9216666666666642</v>
      </c>
      <c r="S143" s="11">
        <f t="shared" si="47"/>
        <v>6.5983333333333309</v>
      </c>
      <c r="T143" s="69">
        <v>10.129799999999999</v>
      </c>
      <c r="U143" s="69">
        <v>-19.823399999999999</v>
      </c>
      <c r="V143" s="11"/>
      <c r="W143" s="69">
        <v>11.289719025224459</v>
      </c>
      <c r="X143" s="69">
        <v>32.24</v>
      </c>
      <c r="Y143" s="12"/>
      <c r="Z143" s="70">
        <f t="shared" si="50"/>
        <v>3.3316447689525663</v>
      </c>
      <c r="AC143" s="11"/>
      <c r="AD143" s="11"/>
    </row>
    <row r="144" spans="1:30" x14ac:dyDescent="0.3">
      <c r="A144" s="7"/>
      <c r="B144" s="66"/>
      <c r="D144" t="s">
        <v>268</v>
      </c>
      <c r="E144" t="s">
        <v>177</v>
      </c>
      <c r="F144" s="67" t="s">
        <v>280</v>
      </c>
      <c r="G144" t="s">
        <v>270</v>
      </c>
      <c r="H144">
        <v>26</v>
      </c>
      <c r="I144" t="s">
        <v>271</v>
      </c>
      <c r="J144" s="69">
        <v>1</v>
      </c>
      <c r="P144" s="11">
        <f t="shared" si="46"/>
        <v>0.64666666666666661</v>
      </c>
      <c r="Q144" s="11">
        <f t="shared" si="48"/>
        <v>6.931666666666664</v>
      </c>
      <c r="R144" s="11">
        <f t="shared" si="49"/>
        <v>7.5783333333333305</v>
      </c>
      <c r="S144" s="11">
        <f t="shared" si="47"/>
        <v>7.2549999999999972</v>
      </c>
      <c r="T144" s="69">
        <v>10.365399999999999</v>
      </c>
      <c r="U144" s="69">
        <v>-19.643599999999999</v>
      </c>
      <c r="V144" s="11"/>
      <c r="W144" s="69">
        <v>11.381458743052587</v>
      </c>
      <c r="X144" s="69">
        <v>31.845454545454547</v>
      </c>
      <c r="Y144" s="12"/>
      <c r="Z144" s="70">
        <f t="shared" si="50"/>
        <v>3.2643469648131944</v>
      </c>
      <c r="AC144" s="11"/>
      <c r="AD144" s="11"/>
    </row>
    <row r="145" spans="1:30" x14ac:dyDescent="0.3">
      <c r="A145" s="7"/>
      <c r="B145" s="66"/>
      <c r="D145" t="s">
        <v>268</v>
      </c>
      <c r="E145" t="s">
        <v>177</v>
      </c>
      <c r="F145" s="67" t="s">
        <v>281</v>
      </c>
      <c r="G145" t="s">
        <v>270</v>
      </c>
      <c r="H145">
        <v>26</v>
      </c>
      <c r="I145" t="s">
        <v>271</v>
      </c>
      <c r="J145" s="69">
        <v>1</v>
      </c>
      <c r="P145" s="11">
        <f t="shared" si="46"/>
        <v>0.64666666666666661</v>
      </c>
      <c r="Q145" s="11">
        <f t="shared" si="48"/>
        <v>7.5883333333333303</v>
      </c>
      <c r="R145" s="11">
        <f t="shared" si="49"/>
        <v>8.2349999999999977</v>
      </c>
      <c r="S145" s="11">
        <f t="shared" si="47"/>
        <v>7.9116666666666635</v>
      </c>
      <c r="T145" s="69">
        <v>11.013</v>
      </c>
      <c r="U145" s="69">
        <v>-19.785</v>
      </c>
      <c r="V145" s="11"/>
      <c r="W145" s="69">
        <v>11.668145361265502</v>
      </c>
      <c r="X145" s="69">
        <v>32.722222222222229</v>
      </c>
      <c r="Y145" s="12"/>
      <c r="Z145" s="70">
        <f t="shared" si="50"/>
        <v>3.2718075361537542</v>
      </c>
      <c r="AC145" s="11"/>
      <c r="AD145" s="11"/>
    </row>
    <row r="146" spans="1:30" x14ac:dyDescent="0.3">
      <c r="A146" s="7"/>
      <c r="B146" s="66"/>
      <c r="D146" t="s">
        <v>268</v>
      </c>
      <c r="E146" t="s">
        <v>177</v>
      </c>
      <c r="F146" s="67" t="s">
        <v>282</v>
      </c>
      <c r="G146" t="s">
        <v>270</v>
      </c>
      <c r="H146">
        <v>26</v>
      </c>
      <c r="I146" t="s">
        <v>271</v>
      </c>
      <c r="J146" s="69">
        <v>1</v>
      </c>
      <c r="P146" s="11">
        <f t="shared" si="46"/>
        <v>0.64666666666666661</v>
      </c>
      <c r="Q146" s="11">
        <f t="shared" si="48"/>
        <v>8.2449999999999974</v>
      </c>
      <c r="R146" s="11">
        <f t="shared" si="49"/>
        <v>8.8916666666666639</v>
      </c>
      <c r="S146" s="11">
        <f t="shared" si="47"/>
        <v>8.5683333333333316</v>
      </c>
      <c r="T146" s="69">
        <v>11.3147</v>
      </c>
      <c r="U146" s="69">
        <v>-19.752300000000002</v>
      </c>
      <c r="V146" s="11"/>
      <c r="W146" s="69">
        <v>13.915051731509193</v>
      </c>
      <c r="X146" s="69">
        <v>38.879166666666663</v>
      </c>
      <c r="Y146" s="12"/>
      <c r="Z146" s="70">
        <f t="shared" si="50"/>
        <v>3.2597096046051313</v>
      </c>
      <c r="AC146" s="11"/>
      <c r="AD146" s="11"/>
    </row>
    <row r="147" spans="1:30" x14ac:dyDescent="0.3">
      <c r="A147" s="7"/>
      <c r="B147" s="66"/>
      <c r="D147" t="s">
        <v>268</v>
      </c>
      <c r="E147" t="s">
        <v>177</v>
      </c>
      <c r="F147" s="67" t="s">
        <v>283</v>
      </c>
      <c r="G147" t="s">
        <v>270</v>
      </c>
      <c r="H147">
        <v>26</v>
      </c>
      <c r="I147" t="s">
        <v>271</v>
      </c>
      <c r="J147" s="69">
        <v>1</v>
      </c>
      <c r="P147" s="11">
        <f t="shared" si="46"/>
        <v>0.64666666666666661</v>
      </c>
      <c r="Q147" s="11">
        <f t="shared" si="48"/>
        <v>8.9016666666666637</v>
      </c>
      <c r="R147" s="11">
        <f t="shared" si="49"/>
        <v>9.5483333333333302</v>
      </c>
      <c r="S147" s="11">
        <f t="shared" si="47"/>
        <v>9.2249999999999979</v>
      </c>
      <c r="T147" s="69">
        <v>10.4345</v>
      </c>
      <c r="U147" s="69">
        <v>-19.591799999999999</v>
      </c>
      <c r="V147" s="11"/>
      <c r="W147" s="69">
        <v>11.983500641299702</v>
      </c>
      <c r="X147" s="69">
        <v>33.686666666666667</v>
      </c>
      <c r="Y147" s="12"/>
      <c r="Z147" s="70">
        <f t="shared" si="50"/>
        <v>3.2796018698963918</v>
      </c>
      <c r="AC147" s="11"/>
      <c r="AD147" s="11"/>
    </row>
    <row r="148" spans="1:30" x14ac:dyDescent="0.3">
      <c r="A148" s="7"/>
      <c r="B148" s="66"/>
      <c r="D148" t="s">
        <v>268</v>
      </c>
      <c r="E148" t="s">
        <v>177</v>
      </c>
      <c r="F148" s="67" t="s">
        <v>284</v>
      </c>
      <c r="G148" t="s">
        <v>270</v>
      </c>
      <c r="H148">
        <v>26</v>
      </c>
      <c r="I148" t="s">
        <v>271</v>
      </c>
      <c r="J148" s="69">
        <v>1.5</v>
      </c>
      <c r="P148" s="11">
        <f t="shared" si="46"/>
        <v>0.97</v>
      </c>
      <c r="Q148" s="11">
        <f t="shared" si="48"/>
        <v>9.55833333333333</v>
      </c>
      <c r="R148" s="11">
        <f t="shared" si="49"/>
        <v>10.528333333333331</v>
      </c>
      <c r="S148" s="11">
        <f t="shared" si="47"/>
        <v>10.043333333333329</v>
      </c>
      <c r="T148" s="69">
        <v>9.7606599999999997</v>
      </c>
      <c r="U148" s="69">
        <v>-19.725300000000001</v>
      </c>
      <c r="V148" s="11"/>
      <c r="W148" s="69">
        <v>13.087244121419412</v>
      </c>
      <c r="X148" s="69">
        <v>38.130000000000003</v>
      </c>
      <c r="Y148" s="12"/>
      <c r="Z148" s="70">
        <f t="shared" si="50"/>
        <v>3.3991113474526724</v>
      </c>
      <c r="AC148" s="11"/>
      <c r="AD148" s="11"/>
    </row>
  </sheetData>
  <mergeCells count="29">
    <mergeCell ref="A97:A114"/>
    <mergeCell ref="B97:B104"/>
    <mergeCell ref="B105:B106"/>
    <mergeCell ref="B107:B113"/>
    <mergeCell ref="A120:A131"/>
    <mergeCell ref="A135:A148"/>
    <mergeCell ref="B135:B148"/>
    <mergeCell ref="A66:A79"/>
    <mergeCell ref="B66:B73"/>
    <mergeCell ref="B75:B78"/>
    <mergeCell ref="A83:A93"/>
    <mergeCell ref="B83:B88"/>
    <mergeCell ref="B90:B92"/>
    <mergeCell ref="A35:A45"/>
    <mergeCell ref="B35:B37"/>
    <mergeCell ref="B38:B39"/>
    <mergeCell ref="B40:B43"/>
    <mergeCell ref="B44:B45"/>
    <mergeCell ref="A50:A62"/>
    <mergeCell ref="B50:B53"/>
    <mergeCell ref="B54:B55"/>
    <mergeCell ref="B56:B60"/>
    <mergeCell ref="B61:B62"/>
    <mergeCell ref="A3:A16"/>
    <mergeCell ref="B3:B8"/>
    <mergeCell ref="B9:B10"/>
    <mergeCell ref="B11:B14"/>
    <mergeCell ref="B15:B16"/>
    <mergeCell ref="A22:A3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Soncin</dc:creator>
  <cp:lastModifiedBy>Silvia Soncin</cp:lastModifiedBy>
  <dcterms:created xsi:type="dcterms:W3CDTF">2024-06-28T14:46:35Z</dcterms:created>
  <dcterms:modified xsi:type="dcterms:W3CDTF">2024-06-28T14:47:20Z</dcterms:modified>
</cp:coreProperties>
</file>