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chiganstate-my.sharepoint.com/personal/liaow_msu_edu/Documents/Wei's Group (MSU)/publications/PineAppleAD(2025)/TEAandLCA/"/>
    </mc:Choice>
  </mc:AlternateContent>
  <xr:revisionPtr revIDLastSave="0" documentId="8_{98437EAD-3641-422A-B133-26B4AEEFED6A}" xr6:coauthVersionLast="36" xr6:coauthVersionMax="36" xr10:uidLastSave="{00000000-0000-0000-0000-000000000000}"/>
  <bookViews>
    <workbookView xWindow="3000" yWindow="3000" windowWidth="17280" windowHeight="9960" tabRatio="745" firstSheet="1" activeTab="6" xr2:uid="{00000000-000D-0000-FFFF-FFFF00000000}"/>
  </bookViews>
  <sheets>
    <sheet name="MassFlow" sheetId="9" r:id="rId1"/>
    <sheet name="1.Collection&amp;Transportation" sheetId="19" r:id="rId2"/>
    <sheet name="2.MechanicalJuiceExtraction" sheetId="20" r:id="rId3"/>
    <sheet name="3.AD" sheetId="12" r:id="rId4"/>
    <sheet name="4.RNGupgrading" sheetId="10" r:id="rId5"/>
    <sheet name="5.PulpProduction" sheetId="21" r:id="rId6"/>
    <sheet name="6.RefrigerationStorage" sheetId="23" r:id="rId7"/>
    <sheet name="7.Digestate" sheetId="22" r:id="rId8"/>
    <sheet name="TotalEnergyDemand" sheetId="17" r:id="rId9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23" l="1"/>
  <c r="B18" i="17" l="1"/>
  <c r="B17" i="17"/>
  <c r="B5" i="23" l="1"/>
  <c r="B7" i="23" s="1"/>
  <c r="B9" i="19"/>
  <c r="B15" i="19" s="1"/>
  <c r="B12" i="23" l="1"/>
  <c r="B32" i="19"/>
  <c r="B15" i="23" l="1"/>
  <c r="B10" i="17" s="1"/>
  <c r="B5" i="19"/>
  <c r="B6" i="19"/>
  <c r="B42" i="12"/>
  <c r="B10" i="19"/>
  <c r="B16" i="19" s="1"/>
  <c r="B43" i="12"/>
  <c r="B5" i="20" l="1"/>
  <c r="B13" i="20" s="1"/>
  <c r="B8" i="19"/>
  <c r="B14" i="19" s="1"/>
  <c r="B20" i="19" s="1"/>
  <c r="B21" i="19" s="1"/>
  <c r="B5" i="17" s="1"/>
  <c r="B13" i="23"/>
  <c r="B9" i="20"/>
  <c r="B8" i="20"/>
  <c r="B7" i="20"/>
  <c r="B5" i="12" s="1"/>
  <c r="B17" i="12" l="1"/>
  <c r="B10" i="12"/>
  <c r="B5" i="10" s="1"/>
  <c r="B12" i="10" s="1"/>
  <c r="B16" i="12"/>
  <c r="B11" i="12" l="1"/>
  <c r="B21" i="12" s="1"/>
  <c r="B19" i="12"/>
  <c r="B7" i="17" s="1"/>
  <c r="B7" i="12"/>
  <c r="B5" i="22" s="1"/>
  <c r="B12" i="12"/>
  <c r="B7" i="10"/>
  <c r="B8" i="10" s="1"/>
  <c r="B14" i="10"/>
  <c r="B8" i="17" s="1"/>
  <c r="B5" i="21"/>
  <c r="B16" i="10" l="1"/>
  <c r="D16" i="10"/>
  <c r="C8" i="17"/>
  <c r="B7" i="21"/>
  <c r="B17" i="21" s="1"/>
  <c r="B11" i="21" l="1"/>
  <c r="B18" i="21"/>
  <c r="C9" i="17" s="1"/>
  <c r="B12" i="21"/>
  <c r="B14" i="21" s="1"/>
  <c r="B18" i="20"/>
  <c r="C6" i="17" s="1"/>
  <c r="B14" i="20"/>
  <c r="C12" i="17" l="1"/>
  <c r="B13" i="21"/>
  <c r="B15" i="21" s="1"/>
  <c r="B9" i="17" s="1"/>
  <c r="B15" i="20"/>
  <c r="B6" i="17" s="1"/>
  <c r="B12" i="17" s="1"/>
  <c r="B15" i="17" l="1"/>
  <c r="C13" i="17"/>
  <c r="B13" i="17"/>
</calcChain>
</file>

<file path=xl/sharedStrings.xml><?xml version="1.0" encoding="utf-8"?>
<sst xmlns="http://schemas.openxmlformats.org/spreadsheetml/2006/main" count="433" uniqueCount="196">
  <si>
    <t>Basic mass information</t>
  </si>
  <si>
    <t>value</t>
  </si>
  <si>
    <t>unit</t>
  </si>
  <si>
    <t>source</t>
  </si>
  <si>
    <t>Leaves</t>
  </si>
  <si>
    <t>Leaves collection and transportation</t>
  </si>
  <si>
    <t>MASS BALANCE (annual base)</t>
  </si>
  <si>
    <t>mass input</t>
  </si>
  <si>
    <t>mass output</t>
  </si>
  <si>
    <t>ENERGY BALANCE (annual base)</t>
  </si>
  <si>
    <t>energy input</t>
  </si>
  <si>
    <t>MJ/yr</t>
  </si>
  <si>
    <t>MJ/kg</t>
  </si>
  <si>
    <t>Electricity energy</t>
  </si>
  <si>
    <t>Thermal energy</t>
  </si>
  <si>
    <t>Fuel energy</t>
  </si>
  <si>
    <t xml:space="preserve">total </t>
  </si>
  <si>
    <t>PARAMETERS</t>
  </si>
  <si>
    <t>Energy Parameter</t>
  </si>
  <si>
    <t>Morey et al., 2010</t>
  </si>
  <si>
    <t>known value</t>
  </si>
  <si>
    <t>Mechanical extraction</t>
  </si>
  <si>
    <t>Note</t>
  </si>
  <si>
    <t>Mass in</t>
  </si>
  <si>
    <t>Mass out</t>
  </si>
  <si>
    <t>Juice</t>
  </si>
  <si>
    <t>Wet pulp</t>
  </si>
  <si>
    <t>Leaves lost</t>
  </si>
  <si>
    <t>total energy input</t>
  </si>
  <si>
    <t>energy output</t>
  </si>
  <si>
    <t>total energy output</t>
  </si>
  <si>
    <t>Evaporation conditions</t>
  </si>
  <si>
    <t>Electricity energy for mechanical crusher</t>
  </si>
  <si>
    <t>Total electricity energy</t>
  </si>
  <si>
    <t>Total thermal energy</t>
  </si>
  <si>
    <t>C</t>
  </si>
  <si>
    <t>Value</t>
  </si>
  <si>
    <t>Unit</t>
  </si>
  <si>
    <t>Mass input</t>
  </si>
  <si>
    <t>Mass output</t>
  </si>
  <si>
    <t>% total thermal energy</t>
  </si>
  <si>
    <t>Pulp drying and combustion</t>
  </si>
  <si>
    <t>Moisture content of wet pulp: 50%</t>
  </si>
  <si>
    <t>Thermal energy for drying</t>
  </si>
  <si>
    <t>Electricity energy for drying</t>
  </si>
  <si>
    <t>Residue energy content</t>
  </si>
  <si>
    <t>Total energy output</t>
  </si>
  <si>
    <t>drying conditions</t>
  </si>
  <si>
    <t>Initial biomass temperature</t>
  </si>
  <si>
    <t>assumption</t>
  </si>
  <si>
    <t>Drying temperature</t>
  </si>
  <si>
    <t>Specific heat capacity of water</t>
  </si>
  <si>
    <t>kJ/(kg*K)</t>
  </si>
  <si>
    <t>Specific heat capacity of dry biomass</t>
  </si>
  <si>
    <t>Latent heat of water at 105C</t>
  </si>
  <si>
    <t xml:space="preserve">kJ/kg </t>
  </si>
  <si>
    <t>Singh, 2009</t>
  </si>
  <si>
    <t>Prasitic electricity energy</t>
  </si>
  <si>
    <t>Mani et al., 2010</t>
  </si>
  <si>
    <t>Heating value of dry pulp</t>
  </si>
  <si>
    <t>Lab measurement</t>
  </si>
  <si>
    <t>Total energy demand</t>
  </si>
  <si>
    <t>Energy balance (Total energy)</t>
  </si>
  <si>
    <t>Energy input</t>
  </si>
  <si>
    <t>Energy output</t>
  </si>
  <si>
    <t>MJ/year</t>
  </si>
  <si>
    <t xml:space="preserve">Total energy </t>
  </si>
  <si>
    <t>total electricity equivalent</t>
  </si>
  <si>
    <t>kwh/year</t>
  </si>
  <si>
    <t>Feedstock</t>
  </si>
  <si>
    <t>Fresh pineapple leaves</t>
  </si>
  <si>
    <t>Parameter</t>
  </si>
  <si>
    <t xml:space="preserve">Size of the CRNG tank </t>
  </si>
  <si>
    <t>km</t>
  </si>
  <si>
    <t>from the GIS analysis</t>
  </si>
  <si>
    <t>kg/truck gas tank</t>
  </si>
  <si>
    <t>Calculated from diesel consumption of a class 8 semi-truck: 0.34 L diesel/km. Conversion of diesel to CH4: 0.72 kg CH4/L diesel</t>
  </si>
  <si>
    <t>kg CH4/km</t>
  </si>
  <si>
    <t>Fuel Parameter</t>
  </si>
  <si>
    <t>CH4</t>
  </si>
  <si>
    <t>For a class 8 CRNG truck, 150 kg CH4 (800 L CNG under pressure 3600 psi)</t>
  </si>
  <si>
    <t>RNG for transport</t>
  </si>
  <si>
    <t>RNG for pineapple leaves harvesting</t>
  </si>
  <si>
    <t>Pineapple</t>
  </si>
  <si>
    <t>Pineapples</t>
  </si>
  <si>
    <t>MT/year</t>
  </si>
  <si>
    <t>Fuel mass</t>
  </si>
  <si>
    <t>Leaves and pineapple mass</t>
  </si>
  <si>
    <t>CH4 for leaves transportation</t>
  </si>
  <si>
    <t>CH4 for leaves harevesting</t>
  </si>
  <si>
    <t>MT/yr</t>
  </si>
  <si>
    <t>CH4 for pineapple transportation</t>
  </si>
  <si>
    <t>kg CH4/(metric ton leaves)</t>
  </si>
  <si>
    <t>use the transportation distance to the depot and size of truck load</t>
  </si>
  <si>
    <t>Load of the class 8 truck for pineapple and pineapple leaves</t>
  </si>
  <si>
    <t>MT/truck</t>
  </si>
  <si>
    <t>Leaves transportation distance to the depot</t>
  </si>
  <si>
    <t>Pineapple transportation distance to the depot</t>
  </si>
  <si>
    <t>Fresh leaves (wet)</t>
  </si>
  <si>
    <t>the mass balance from Juliana Da Luz, TEA of biogas production from pineapple leaves juice: 1 MT of pineapple leaves generates 0.767 MT of Juice, 0.183 MT of wet fiber, 0.05 MT of leaves lost</t>
  </si>
  <si>
    <t>MJ/MT fresh leaves</t>
  </si>
  <si>
    <t>CH4 in biogas</t>
  </si>
  <si>
    <t>CO2 in biogas</t>
  </si>
  <si>
    <t>Hydraulic retention time</t>
  </si>
  <si>
    <t>day</t>
  </si>
  <si>
    <t>AD temperature</t>
  </si>
  <si>
    <t>Lab data</t>
  </si>
  <si>
    <t>AD conditions</t>
  </si>
  <si>
    <t>Reactor type</t>
  </si>
  <si>
    <t>Continuous stirred tank reactor (CSTR)</t>
  </si>
  <si>
    <t>Anaerobic Digestion</t>
  </si>
  <si>
    <t>Biogas production</t>
  </si>
  <si>
    <t>Biogas composition</t>
  </si>
  <si>
    <t>Leaves juice composition</t>
  </si>
  <si>
    <t>TS</t>
  </si>
  <si>
    <t>VS</t>
  </si>
  <si>
    <t>CO2</t>
  </si>
  <si>
    <t>H2S</t>
  </si>
  <si>
    <t>%(v/v)</t>
  </si>
  <si>
    <t>Total biogas</t>
  </si>
  <si>
    <t>m3/yr</t>
  </si>
  <si>
    <t>MT dry matter/MT juice</t>
  </si>
  <si>
    <t>m3/MT VS loaded</t>
  </si>
  <si>
    <t>Digester heating</t>
  </si>
  <si>
    <t>Digester electricity</t>
  </si>
  <si>
    <t>MJ/MT juice</t>
  </si>
  <si>
    <t>10% of heating energy equivalent used as the electricity demand based on a commercial AD operation</t>
  </si>
  <si>
    <t>Thermal energy for the AD operation</t>
  </si>
  <si>
    <t>Electricity energy for the AD operation</t>
  </si>
  <si>
    <t>Energy content in the biogas</t>
  </si>
  <si>
    <t>Energy calculation</t>
  </si>
  <si>
    <t>Methane low heating value</t>
  </si>
  <si>
    <t>MJ/m3</t>
  </si>
  <si>
    <t>under the standard condition of 1 atm and 0 C</t>
  </si>
  <si>
    <t xml:space="preserve">Membrane CRNG </t>
  </si>
  <si>
    <t>Raw biogas</t>
  </si>
  <si>
    <t>CRNG</t>
  </si>
  <si>
    <t>typical around 800 ppm</t>
  </si>
  <si>
    <t>% (v/v)</t>
  </si>
  <si>
    <t>Product gas (CRNG) CH4 purity</t>
  </si>
  <si>
    <t>CH4 recovery</t>
  </si>
  <si>
    <t>Operating pressure</t>
  </si>
  <si>
    <t>8 to 16</t>
  </si>
  <si>
    <t>bar</t>
  </si>
  <si>
    <t>CO2 removal</t>
  </si>
  <si>
    <t>CO2 in the product gas (CRNG)</t>
  </si>
  <si>
    <t>Membrane CRNG technology - recovery information</t>
  </si>
  <si>
    <t>Membrane CRNG technology - energy use breakdown</t>
  </si>
  <si>
    <t>Raw biogas compression</t>
  </si>
  <si>
    <t>kWh/Nm3</t>
  </si>
  <si>
    <t>Blowers</t>
  </si>
  <si>
    <t>Controls and drying</t>
  </si>
  <si>
    <t>Cooling</t>
  </si>
  <si>
    <t>Energy in CRNG</t>
  </si>
  <si>
    <t>CRNG compression</t>
  </si>
  <si>
    <t>compressed to 3600 psi for the truck usage</t>
  </si>
  <si>
    <t>M3/yr</t>
  </si>
  <si>
    <t>under normalized cubic meter per year</t>
  </si>
  <si>
    <t>Mass and volume conversion of CH4</t>
  </si>
  <si>
    <t>Conversion</t>
  </si>
  <si>
    <t>m3 CH4/MT CH4</t>
  </si>
  <si>
    <t>Normalized volume</t>
  </si>
  <si>
    <t>kWh/Nm3 raw biogas</t>
  </si>
  <si>
    <t>kWh to MJ conversion</t>
  </si>
  <si>
    <t>MJ/kWh</t>
  </si>
  <si>
    <t>Moisture content in the wet fiber</t>
  </si>
  <si>
    <t>Wet fiber</t>
  </si>
  <si>
    <t>Dry fiber</t>
  </si>
  <si>
    <t>% (w/w)</t>
  </si>
  <si>
    <t>Clara Liao's paper</t>
  </si>
  <si>
    <t>1. Collection and transportation</t>
  </si>
  <si>
    <t>2. Mechanical extraction</t>
  </si>
  <si>
    <t>3. AD</t>
  </si>
  <si>
    <t>4. CRNG upgrading</t>
  </si>
  <si>
    <t>5. Pulp production</t>
  </si>
  <si>
    <t>commerical data</t>
  </si>
  <si>
    <t>Digestate</t>
  </si>
  <si>
    <t>mass output (digestate)</t>
  </si>
  <si>
    <t>Use the heat equation: Q=m*Cp*(Treactor - Tenvironment) + heat loss of 10%</t>
  </si>
  <si>
    <t>Selected farm from MOO</t>
  </si>
  <si>
    <t>6. Pineapple cooling storage</t>
  </si>
  <si>
    <t>Refrigeration</t>
  </si>
  <si>
    <t>Pre-cooling</t>
  </si>
  <si>
    <t>Operational data</t>
  </si>
  <si>
    <t>Note: forced-air cooling to cool pineapple from ambient temp to 7-10 C within 6-10 hours after harvesting</t>
  </si>
  <si>
    <t>kWh/MT pineapple</t>
  </si>
  <si>
    <t>Cooling storage</t>
  </si>
  <si>
    <t>Note: After pre-cooling, pineapples are stored at 7-10 C up to 7 days before shipment</t>
  </si>
  <si>
    <t>Thermal energy for pre-cooling</t>
  </si>
  <si>
    <t>Electricity energy for pre-cooling</t>
  </si>
  <si>
    <t>Electricity energy for cooling storage</t>
  </si>
  <si>
    <t>thermal energy for cooling storage</t>
  </si>
  <si>
    <t xml:space="preserve">Net energy </t>
  </si>
  <si>
    <t xml:space="preserve">Net RNG </t>
  </si>
  <si>
    <t>Net power</t>
  </si>
  <si>
    <t>energy use: 120 MJ/MT leaves, ref: A biomass supply logistics system. 2009. ASABE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</si>
</sst>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0"/>
      <name val="Times New Roman"/>
      <family val="1"/>
    </font>
    <font>
      <sz val="11"/>
      <color rgb="FF0000CC"/>
      <name val="Times New Roman"/>
      <family val="1"/>
    </font>
    <font>
      <b/>
      <sz val="11"/>
      <color theme="0"/>
      <name val="Times New Roman"/>
      <family val="1"/>
    </font>
    <font>
      <b/>
      <sz val="14"/>
      <color theme="0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color rgb="FFFF0000"/>
      <name val="Times New Roman"/>
      <family val="1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2" xfId="0" applyFont="1" applyBorder="1"/>
    <xf numFmtId="0" fontId="3" fillId="5" borderId="0" xfId="0" applyFont="1" applyFill="1"/>
    <xf numFmtId="0" fontId="1" fillId="0" borderId="0" xfId="0" applyFont="1"/>
    <xf numFmtId="0" fontId="2" fillId="2" borderId="2" xfId="0" applyFont="1" applyFill="1" applyBorder="1"/>
    <xf numFmtId="0" fontId="2" fillId="2" borderId="5" xfId="0" applyFont="1" applyFill="1" applyBorder="1"/>
    <xf numFmtId="0" fontId="4" fillId="5" borderId="0" xfId="0" applyFont="1" applyFill="1"/>
    <xf numFmtId="0" fontId="3" fillId="0" borderId="0" xfId="0" applyFont="1"/>
    <xf numFmtId="0" fontId="2" fillId="2" borderId="1" xfId="0" applyFont="1" applyFill="1" applyBorder="1" applyAlignment="1">
      <alignment horizontal="left"/>
    </xf>
    <xf numFmtId="3" fontId="2" fillId="2" borderId="1" xfId="0" applyNumberFormat="1" applyFont="1" applyFill="1" applyBorder="1" applyAlignment="1">
      <alignment horizontal="left"/>
    </xf>
    <xf numFmtId="3" fontId="1" fillId="0" borderId="2" xfId="0" applyNumberFormat="1" applyFont="1" applyBorder="1"/>
    <xf numFmtId="0" fontId="2" fillId="2" borderId="4" xfId="0" applyFont="1" applyFill="1" applyBorder="1"/>
    <xf numFmtId="0" fontId="4" fillId="6" borderId="0" xfId="0" applyFont="1" applyFill="1"/>
    <xf numFmtId="0" fontId="3" fillId="6" borderId="0" xfId="0" applyFont="1" applyFill="1"/>
    <xf numFmtId="0" fontId="5" fillId="3" borderId="0" xfId="0" applyFont="1" applyFill="1"/>
    <xf numFmtId="0" fontId="2" fillId="3" borderId="0" xfId="0" applyFont="1" applyFill="1"/>
    <xf numFmtId="3" fontId="1" fillId="0" borderId="0" xfId="0" applyNumberFormat="1" applyFont="1"/>
    <xf numFmtId="0" fontId="1" fillId="4" borderId="2" xfId="0" applyFont="1" applyFill="1" applyBorder="1"/>
    <xf numFmtId="0" fontId="1" fillId="4" borderId="3" xfId="0" applyFont="1" applyFill="1" applyBorder="1"/>
    <xf numFmtId="0" fontId="1" fillId="0" borderId="4" xfId="0" applyFont="1" applyBorder="1"/>
    <xf numFmtId="3" fontId="1" fillId="0" borderId="4" xfId="0" applyNumberFormat="1" applyFont="1" applyBorder="1"/>
    <xf numFmtId="0" fontId="6" fillId="0" borderId="2" xfId="0" applyFont="1" applyBorder="1"/>
    <xf numFmtId="3" fontId="6" fillId="0" borderId="2" xfId="0" applyNumberFormat="1" applyFont="1" applyBorder="1"/>
    <xf numFmtId="0" fontId="1" fillId="0" borderId="7" xfId="0" applyFont="1" applyBorder="1"/>
    <xf numFmtId="0" fontId="1" fillId="0" borderId="6" xfId="0" applyFont="1" applyBorder="1"/>
    <xf numFmtId="0" fontId="2" fillId="2" borderId="0" xfId="0" applyFont="1" applyFill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left"/>
    </xf>
    <xf numFmtId="3" fontId="1" fillId="0" borderId="2" xfId="0" applyNumberFormat="1" applyFont="1" applyBorder="1" applyAlignment="1">
      <alignment horizontal="right"/>
    </xf>
    <xf numFmtId="4" fontId="0" fillId="0" borderId="0" xfId="0" applyNumberFormat="1"/>
    <xf numFmtId="0" fontId="1" fillId="0" borderId="1" xfId="0" applyFont="1" applyBorder="1"/>
    <xf numFmtId="164" fontId="1" fillId="0" borderId="2" xfId="0" applyNumberFormat="1" applyFont="1" applyBorder="1"/>
    <xf numFmtId="4" fontId="1" fillId="0" borderId="0" xfId="0" applyNumberFormat="1" applyFont="1"/>
    <xf numFmtId="4" fontId="1" fillId="7" borderId="2" xfId="0" applyNumberFormat="1" applyFont="1" applyFill="1" applyBorder="1"/>
    <xf numFmtId="0" fontId="1" fillId="7" borderId="2" xfId="0" applyFont="1" applyFill="1" applyBorder="1"/>
    <xf numFmtId="0" fontId="5" fillId="0" borderId="0" xfId="0" applyFont="1"/>
    <xf numFmtId="0" fontId="2" fillId="0" borderId="0" xfId="0" applyFont="1"/>
    <xf numFmtId="0" fontId="2" fillId="5" borderId="0" xfId="0" applyFont="1" applyFill="1"/>
    <xf numFmtId="166" fontId="1" fillId="0" borderId="0" xfId="0" applyNumberFormat="1" applyFont="1"/>
    <xf numFmtId="0" fontId="1" fillId="7" borderId="0" xfId="0" applyFont="1" applyFill="1"/>
    <xf numFmtId="0" fontId="7" fillId="0" borderId="0" xfId="0" applyFont="1"/>
    <xf numFmtId="0" fontId="6" fillId="0" borderId="4" xfId="0" applyFont="1" applyBorder="1"/>
    <xf numFmtId="165" fontId="1" fillId="7" borderId="2" xfId="0" applyNumberFormat="1" applyFont="1" applyFill="1" applyBorder="1"/>
    <xf numFmtId="2" fontId="1" fillId="0" borderId="0" xfId="0" applyNumberFormat="1" applyFont="1"/>
    <xf numFmtId="0" fontId="1" fillId="3" borderId="0" xfId="0" applyFont="1" applyFill="1"/>
    <xf numFmtId="0" fontId="0" fillId="3" borderId="0" xfId="0" applyFill="1"/>
    <xf numFmtId="165" fontId="1" fillId="0" borderId="0" xfId="0" applyNumberFormat="1" applyFont="1"/>
    <xf numFmtId="3" fontId="1" fillId="7" borderId="2" xfId="0" applyNumberFormat="1" applyFont="1" applyFill="1" applyBorder="1"/>
    <xf numFmtId="1" fontId="1" fillId="0" borderId="0" xfId="0" applyNumberFormat="1" applyFont="1"/>
    <xf numFmtId="0" fontId="8" fillId="0" borderId="1" xfId="0" applyFont="1" applyBorder="1"/>
    <xf numFmtId="0" fontId="1" fillId="8" borderId="0" xfId="0" applyFont="1" applyFill="1"/>
    <xf numFmtId="3" fontId="1" fillId="8" borderId="2" xfId="0" applyNumberFormat="1" applyFont="1" applyFill="1" applyBorder="1"/>
    <xf numFmtId="16" fontId="1" fillId="0" borderId="2" xfId="0" applyNumberFormat="1" applyFont="1" applyBorder="1"/>
    <xf numFmtId="3" fontId="0" fillId="0" borderId="0" xfId="0" applyNumberFormat="1"/>
    <xf numFmtId="0" fontId="1" fillId="0" borderId="8" xfId="0" applyFont="1" applyFill="1" applyBorder="1"/>
    <xf numFmtId="3" fontId="0" fillId="7" borderId="2" xfId="0" applyNumberFormat="1" applyFill="1" applyBorder="1"/>
    <xf numFmtId="0" fontId="0" fillId="7" borderId="2" xfId="0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5"/>
  <sheetViews>
    <sheetView zoomScaleNormal="100" workbookViewId="0">
      <selection activeCell="B8" sqref="B8"/>
    </sheetView>
  </sheetViews>
  <sheetFormatPr defaultColWidth="9.140625" defaultRowHeight="15" x14ac:dyDescent="0.25"/>
  <cols>
    <col min="1" max="1" width="43.5703125" style="3" customWidth="1"/>
    <col min="2" max="2" width="22.140625" style="3" customWidth="1"/>
    <col min="3" max="3" width="24.42578125" style="3" customWidth="1"/>
    <col min="4" max="4" width="30.140625" style="3" customWidth="1"/>
    <col min="5" max="5" width="17.7109375" style="3" customWidth="1"/>
    <col min="6" max="16384" width="9.140625" style="3"/>
  </cols>
  <sheetData>
    <row r="1" spans="1:4" s="37" customFormat="1" ht="17.45" x14ac:dyDescent="0.3">
      <c r="A1" s="14" t="s">
        <v>0</v>
      </c>
      <c r="B1" s="15"/>
      <c r="C1" s="15"/>
      <c r="D1" s="15"/>
    </row>
    <row r="3" spans="1:4" ht="13.9" x14ac:dyDescent="0.25">
      <c r="A3" s="8" t="s">
        <v>69</v>
      </c>
      <c r="B3" s="9" t="s">
        <v>1</v>
      </c>
      <c r="C3" s="8" t="s">
        <v>2</v>
      </c>
      <c r="D3" s="4" t="s">
        <v>3</v>
      </c>
    </row>
    <row r="4" spans="1:4" ht="13.9" x14ac:dyDescent="0.25">
      <c r="A4" s="1" t="s">
        <v>70</v>
      </c>
      <c r="B4" s="52">
        <v>1009000</v>
      </c>
      <c r="C4" s="1" t="s">
        <v>85</v>
      </c>
      <c r="D4" s="1"/>
    </row>
    <row r="5" spans="1:4" ht="13.9" x14ac:dyDescent="0.25">
      <c r="A5" s="1" t="s">
        <v>83</v>
      </c>
      <c r="B5" s="52">
        <v>504500</v>
      </c>
      <c r="C5" s="1" t="s">
        <v>85</v>
      </c>
      <c r="D5" s="1"/>
    </row>
    <row r="6" spans="1:4" ht="13.9" x14ac:dyDescent="0.25">
      <c r="A6" s="1"/>
      <c r="B6" s="10"/>
      <c r="C6" s="1"/>
      <c r="D6" s="1"/>
    </row>
    <row r="7" spans="1:4" ht="13.9" x14ac:dyDescent="0.25">
      <c r="A7" s="1" t="s">
        <v>179</v>
      </c>
      <c r="B7" s="10">
        <v>3344</v>
      </c>
      <c r="C7" s="1"/>
      <c r="D7" s="1"/>
    </row>
    <row r="8" spans="1:4" ht="13.9" x14ac:dyDescent="0.25">
      <c r="A8" s="1"/>
      <c r="B8" s="32"/>
      <c r="C8" s="1"/>
      <c r="D8" s="1"/>
    </row>
    <row r="9" spans="1:4" ht="13.9" x14ac:dyDescent="0.25">
      <c r="A9" s="1"/>
      <c r="B9" s="10"/>
      <c r="C9" s="1"/>
      <c r="D9" s="1"/>
    </row>
    <row r="10" spans="1:4" ht="13.9" x14ac:dyDescent="0.25">
      <c r="B10" s="49"/>
    </row>
    <row r="15" spans="1:4" ht="13.9" x14ac:dyDescent="0.25">
      <c r="B15" s="39"/>
    </row>
  </sheetData>
  <pageMargins left="0.7" right="0.7" top="0.75" bottom="0.75" header="0.3" footer="0.3"/>
  <pageSetup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14E94-48FA-4743-B9B1-55DDEB301DDC}">
  <sheetPr>
    <pageSetUpPr fitToPage="1"/>
  </sheetPr>
  <dimension ref="A1:I49"/>
  <sheetViews>
    <sheetView topLeftCell="A13" zoomScaleNormal="100" workbookViewId="0">
      <selection activeCell="E32" sqref="E32"/>
    </sheetView>
  </sheetViews>
  <sheetFormatPr defaultColWidth="9.140625" defaultRowHeight="15" x14ac:dyDescent="0.25"/>
  <cols>
    <col min="1" max="1" width="49.140625" style="3" customWidth="1"/>
    <col min="2" max="2" width="18.28515625" style="3" customWidth="1"/>
    <col min="3" max="3" width="25.42578125" style="3" customWidth="1"/>
    <col min="4" max="4" width="26.28515625" style="3" customWidth="1"/>
    <col min="5" max="5" width="9.140625" style="3"/>
    <col min="6" max="6" width="14.7109375" style="3" customWidth="1"/>
    <col min="7" max="7" width="28.28515625" style="3" customWidth="1"/>
    <col min="8" max="8" width="25.85546875" style="3" customWidth="1"/>
    <col min="9" max="9" width="35" style="3" customWidth="1"/>
    <col min="10" max="10" width="9.140625" style="3"/>
    <col min="11" max="11" width="9.85546875" style="3" bestFit="1" customWidth="1"/>
    <col min="12" max="16384" width="9.140625" style="3"/>
  </cols>
  <sheetData>
    <row r="1" spans="1:9" ht="17.45" x14ac:dyDescent="0.3">
      <c r="A1" s="14" t="s">
        <v>5</v>
      </c>
      <c r="B1" s="15"/>
      <c r="C1" s="15"/>
      <c r="D1" s="15"/>
      <c r="E1" s="45"/>
      <c r="F1" s="45"/>
      <c r="G1" s="45"/>
      <c r="H1" s="45"/>
      <c r="I1" s="45"/>
    </row>
    <row r="3" spans="1:9" ht="13.9" x14ac:dyDescent="0.25">
      <c r="A3" s="6" t="s">
        <v>6</v>
      </c>
      <c r="B3" s="2"/>
      <c r="C3" s="2"/>
      <c r="D3" s="7"/>
    </row>
    <row r="4" spans="1:9" ht="13.9" x14ac:dyDescent="0.25">
      <c r="A4" s="17" t="s">
        <v>87</v>
      </c>
      <c r="B4" s="17" t="s">
        <v>1</v>
      </c>
      <c r="C4" s="17" t="s">
        <v>2</v>
      </c>
      <c r="H4" s="16"/>
    </row>
    <row r="5" spans="1:9" ht="13.9" x14ac:dyDescent="0.25">
      <c r="A5" s="1" t="s">
        <v>4</v>
      </c>
      <c r="B5" s="10">
        <f>MassFlow!B4</f>
        <v>1009000</v>
      </c>
      <c r="C5" s="1" t="s">
        <v>90</v>
      </c>
    </row>
    <row r="6" spans="1:9" ht="13.9" x14ac:dyDescent="0.25">
      <c r="A6" s="1" t="s">
        <v>84</v>
      </c>
      <c r="B6" s="10">
        <f>MassFlow!B5</f>
        <v>504500</v>
      </c>
      <c r="C6" s="1" t="s">
        <v>90</v>
      </c>
    </row>
    <row r="7" spans="1:9" ht="13.9" x14ac:dyDescent="0.25">
      <c r="A7" s="17" t="s">
        <v>86</v>
      </c>
      <c r="B7" s="17" t="s">
        <v>1</v>
      </c>
      <c r="C7" s="17" t="s">
        <v>2</v>
      </c>
    </row>
    <row r="8" spans="1:9" ht="13.9" x14ac:dyDescent="0.25">
      <c r="A8" s="1" t="s">
        <v>89</v>
      </c>
      <c r="B8" s="10">
        <f>B5*B32/1000</f>
        <v>2421.6</v>
      </c>
      <c r="C8" s="1" t="s">
        <v>85</v>
      </c>
    </row>
    <row r="9" spans="1:9" ht="13.9" x14ac:dyDescent="0.25">
      <c r="A9" s="1" t="s">
        <v>88</v>
      </c>
      <c r="B9" s="10">
        <f>B25*B33/1000</f>
        <v>564.13131839999994</v>
      </c>
      <c r="C9" s="1" t="s">
        <v>85</v>
      </c>
      <c r="D9" s="3" t="s">
        <v>93</v>
      </c>
    </row>
    <row r="10" spans="1:9" ht="13.9" x14ac:dyDescent="0.25">
      <c r="A10" s="1" t="s">
        <v>91</v>
      </c>
      <c r="B10" s="10">
        <f>B26*B33/1000</f>
        <v>282.06565919999997</v>
      </c>
      <c r="C10" s="1" t="s">
        <v>85</v>
      </c>
    </row>
    <row r="12" spans="1:9" ht="13.9" x14ac:dyDescent="0.25">
      <c r="A12" s="6" t="s">
        <v>9</v>
      </c>
      <c r="B12" s="2"/>
      <c r="C12" s="2"/>
      <c r="D12" s="7"/>
    </row>
    <row r="13" spans="1:9" ht="13.9" x14ac:dyDescent="0.25">
      <c r="A13" s="18" t="s">
        <v>10</v>
      </c>
      <c r="B13" s="17" t="s">
        <v>1</v>
      </c>
      <c r="C13" s="17" t="s">
        <v>2</v>
      </c>
    </row>
    <row r="14" spans="1:9" ht="13.9" x14ac:dyDescent="0.25">
      <c r="A14" s="1" t="s">
        <v>89</v>
      </c>
      <c r="B14" s="10">
        <f>B8*B29*1000</f>
        <v>121080000</v>
      </c>
      <c r="C14" s="1" t="s">
        <v>11</v>
      </c>
    </row>
    <row r="15" spans="1:9" ht="13.9" x14ac:dyDescent="0.25">
      <c r="A15" s="1" t="s">
        <v>88</v>
      </c>
      <c r="B15" s="10">
        <f>B9*B29*1000</f>
        <v>28206565.919999998</v>
      </c>
      <c r="C15" s="19" t="s">
        <v>11</v>
      </c>
    </row>
    <row r="16" spans="1:9" ht="13.9" x14ac:dyDescent="0.25">
      <c r="A16" s="1" t="s">
        <v>91</v>
      </c>
      <c r="B16" s="10">
        <f>B10*B29*1000</f>
        <v>14103282.959999999</v>
      </c>
      <c r="C16" s="19" t="s">
        <v>11</v>
      </c>
    </row>
    <row r="17" spans="1:9" ht="13.9" x14ac:dyDescent="0.25">
      <c r="A17" s="19"/>
      <c r="B17" s="20"/>
      <c r="C17" s="19"/>
    </row>
    <row r="18" spans="1:9" ht="13.9" x14ac:dyDescent="0.25">
      <c r="A18" s="42" t="s">
        <v>13</v>
      </c>
      <c r="B18" s="22">
        <v>0</v>
      </c>
      <c r="C18" s="21" t="s">
        <v>11</v>
      </c>
    </row>
    <row r="19" spans="1:9" ht="13.9" x14ac:dyDescent="0.25">
      <c r="A19" s="42" t="s">
        <v>14</v>
      </c>
      <c r="B19" s="22">
        <v>0</v>
      </c>
      <c r="C19" s="21" t="s">
        <v>11</v>
      </c>
    </row>
    <row r="20" spans="1:9" ht="13.9" x14ac:dyDescent="0.25">
      <c r="A20" s="42" t="s">
        <v>15</v>
      </c>
      <c r="B20" s="22">
        <f>SUM(B14:B16)</f>
        <v>163389848.88</v>
      </c>
      <c r="C20" s="21" t="s">
        <v>11</v>
      </c>
    </row>
    <row r="21" spans="1:9" ht="13.9" x14ac:dyDescent="0.25">
      <c r="A21" s="21" t="s">
        <v>16</v>
      </c>
      <c r="B21" s="22">
        <f>SUM(B18:B20)</f>
        <v>163389848.88</v>
      </c>
      <c r="C21" s="21" t="s">
        <v>11</v>
      </c>
    </row>
    <row r="23" spans="1:9" ht="13.9" x14ac:dyDescent="0.25">
      <c r="A23" s="12" t="s">
        <v>17</v>
      </c>
      <c r="B23" s="13"/>
      <c r="C23" s="13"/>
      <c r="D23" s="13"/>
    </row>
    <row r="24" spans="1:9" ht="13.9" x14ac:dyDescent="0.25">
      <c r="A24" s="4" t="s">
        <v>71</v>
      </c>
      <c r="B24" s="4" t="s">
        <v>1</v>
      </c>
      <c r="C24" s="4" t="s">
        <v>2</v>
      </c>
      <c r="D24" s="4" t="s">
        <v>3</v>
      </c>
    </row>
    <row r="25" spans="1:9" x14ac:dyDescent="0.25">
      <c r="A25" s="31" t="s">
        <v>96</v>
      </c>
      <c r="B25" s="51">
        <v>2304458</v>
      </c>
      <c r="C25" s="31" t="s">
        <v>73</v>
      </c>
      <c r="D25" s="31" t="s">
        <v>74</v>
      </c>
    </row>
    <row r="26" spans="1:9" x14ac:dyDescent="0.25">
      <c r="A26" s="24" t="s">
        <v>97</v>
      </c>
      <c r="B26" s="51">
        <v>1152229</v>
      </c>
      <c r="C26" s="24" t="s">
        <v>73</v>
      </c>
      <c r="D26" s="24" t="s">
        <v>74</v>
      </c>
    </row>
    <row r="27" spans="1:9" x14ac:dyDescent="0.25">
      <c r="A27" s="24"/>
      <c r="B27" s="50"/>
      <c r="C27" s="24"/>
      <c r="D27" s="24"/>
    </row>
    <row r="28" spans="1:9" x14ac:dyDescent="0.25">
      <c r="A28" s="5" t="s">
        <v>18</v>
      </c>
      <c r="B28" s="5" t="s">
        <v>1</v>
      </c>
      <c r="C28" s="5" t="s">
        <v>2</v>
      </c>
      <c r="D28" s="5" t="s">
        <v>3</v>
      </c>
    </row>
    <row r="29" spans="1:9" x14ac:dyDescent="0.25">
      <c r="A29" s="19" t="s">
        <v>79</v>
      </c>
      <c r="B29" s="19">
        <v>50</v>
      </c>
      <c r="C29" s="19" t="s">
        <v>12</v>
      </c>
      <c r="D29" s="19"/>
    </row>
    <row r="30" spans="1:9" x14ac:dyDescent="0.25">
      <c r="A30" s="31"/>
      <c r="B30" s="31"/>
      <c r="C30" s="31"/>
      <c r="D30" s="31"/>
    </row>
    <row r="31" spans="1:9" x14ac:dyDescent="0.25">
      <c r="A31" s="5" t="s">
        <v>78</v>
      </c>
      <c r="B31" s="5" t="s">
        <v>1</v>
      </c>
      <c r="C31" s="5" t="s">
        <v>2</v>
      </c>
      <c r="D31" s="5" t="s">
        <v>3</v>
      </c>
    </row>
    <row r="32" spans="1:9" x14ac:dyDescent="0.25">
      <c r="A32" s="1" t="s">
        <v>82</v>
      </c>
      <c r="B32" s="1">
        <f>120/B29</f>
        <v>2.4</v>
      </c>
      <c r="C32" s="1" t="s">
        <v>92</v>
      </c>
      <c r="D32" s="1" t="s">
        <v>19</v>
      </c>
      <c r="E32" s="35" t="s">
        <v>195</v>
      </c>
      <c r="F32" s="35"/>
      <c r="G32" s="35"/>
      <c r="H32" s="43"/>
      <c r="I32" s="35"/>
    </row>
    <row r="33" spans="1:9" x14ac:dyDescent="0.25">
      <c r="A33" s="1" t="s">
        <v>81</v>
      </c>
      <c r="B33" s="1">
        <v>0.24479999999999999</v>
      </c>
      <c r="C33" s="1" t="s">
        <v>77</v>
      </c>
      <c r="D33" s="1"/>
      <c r="E33" s="35" t="s">
        <v>76</v>
      </c>
      <c r="F33" s="35"/>
      <c r="G33" s="35"/>
      <c r="H33" s="43"/>
      <c r="I33" s="35"/>
    </row>
    <row r="34" spans="1:9" x14ac:dyDescent="0.25">
      <c r="A34" s="19" t="s">
        <v>72</v>
      </c>
      <c r="B34" s="19">
        <v>150</v>
      </c>
      <c r="C34" s="19" t="s">
        <v>75</v>
      </c>
      <c r="D34" s="19" t="s">
        <v>20</v>
      </c>
      <c r="E34" s="40" t="s">
        <v>80</v>
      </c>
      <c r="F34" s="40"/>
      <c r="G34" s="40"/>
      <c r="H34" s="40"/>
      <c r="I34" s="40"/>
    </row>
    <row r="35" spans="1:9" x14ac:dyDescent="0.25">
      <c r="A35" s="31" t="s">
        <v>94</v>
      </c>
      <c r="B35" s="31">
        <v>20</v>
      </c>
      <c r="C35" s="31" t="s">
        <v>95</v>
      </c>
      <c r="D35" s="31"/>
    </row>
    <row r="36" spans="1:9" ht="15.75" x14ac:dyDescent="0.25">
      <c r="D36" s="41"/>
    </row>
    <row r="41" spans="1:9" x14ac:dyDescent="0.25">
      <c r="B41" s="44"/>
    </row>
    <row r="49" spans="2:2" x14ac:dyDescent="0.25">
      <c r="B49" s="49"/>
    </row>
  </sheetData>
  <pageMargins left="0.7" right="0.7" top="0.75" bottom="0.75" header="0.3" footer="0.3"/>
  <pageSetup scale="6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77516-7941-4AC8-A9A0-A26CAF1FBD52}">
  <sheetPr>
    <pageSetUpPr fitToPage="1"/>
  </sheetPr>
  <dimension ref="A1:I23"/>
  <sheetViews>
    <sheetView zoomScale="86" zoomScaleNormal="100" workbookViewId="0">
      <selection activeCell="B13" sqref="B13"/>
    </sheetView>
  </sheetViews>
  <sheetFormatPr defaultRowHeight="15" x14ac:dyDescent="0.25"/>
  <cols>
    <col min="1" max="1" width="46.28515625" customWidth="1"/>
    <col min="2" max="2" width="34.28515625" customWidth="1"/>
    <col min="3" max="3" width="23" customWidth="1"/>
    <col min="4" max="4" width="60.5703125" customWidth="1"/>
    <col min="7" max="7" width="26" customWidth="1"/>
    <col min="8" max="8" width="19.42578125" customWidth="1"/>
    <col min="9" max="9" width="20.28515625" customWidth="1"/>
  </cols>
  <sheetData>
    <row r="1" spans="1:9" ht="18.75" x14ac:dyDescent="0.3">
      <c r="A1" s="14" t="s">
        <v>21</v>
      </c>
      <c r="B1" s="15"/>
      <c r="C1" s="15"/>
      <c r="D1" s="15"/>
      <c r="E1" s="46"/>
      <c r="F1" s="46"/>
      <c r="G1" s="46"/>
      <c r="H1" s="46"/>
      <c r="I1" s="46"/>
    </row>
    <row r="2" spans="1:9" x14ac:dyDescent="0.25">
      <c r="A2" s="3"/>
      <c r="B2" s="3"/>
      <c r="C2" s="3"/>
      <c r="D2" s="3"/>
    </row>
    <row r="3" spans="1:9" x14ac:dyDescent="0.25">
      <c r="A3" s="6" t="s">
        <v>6</v>
      </c>
      <c r="B3" s="2"/>
      <c r="C3" s="2"/>
      <c r="D3" s="38" t="s">
        <v>22</v>
      </c>
    </row>
    <row r="4" spans="1:9" x14ac:dyDescent="0.25">
      <c r="A4" s="17" t="s">
        <v>23</v>
      </c>
      <c r="B4" s="17" t="s">
        <v>1</v>
      </c>
      <c r="C4" s="17" t="s">
        <v>2</v>
      </c>
      <c r="D4" s="3"/>
    </row>
    <row r="5" spans="1:9" x14ac:dyDescent="0.25">
      <c r="A5" s="1" t="s">
        <v>98</v>
      </c>
      <c r="B5" s="10">
        <f>'1.Collection&amp;Transportation'!B5</f>
        <v>1009000</v>
      </c>
      <c r="C5" s="1" t="s">
        <v>85</v>
      </c>
      <c r="D5" s="3"/>
    </row>
    <row r="6" spans="1:9" x14ac:dyDescent="0.25">
      <c r="A6" s="17" t="s">
        <v>24</v>
      </c>
      <c r="B6" s="17" t="s">
        <v>1</v>
      </c>
      <c r="C6" s="17" t="s">
        <v>2</v>
      </c>
      <c r="D6" s="3"/>
    </row>
    <row r="7" spans="1:9" x14ac:dyDescent="0.25">
      <c r="A7" s="1" t="s">
        <v>25</v>
      </c>
      <c r="B7" s="10">
        <f>B5*0.76</f>
        <v>766840</v>
      </c>
      <c r="C7" s="1" t="s">
        <v>90</v>
      </c>
      <c r="D7" s="3" t="s">
        <v>99</v>
      </c>
    </row>
    <row r="8" spans="1:9" x14ac:dyDescent="0.25">
      <c r="A8" s="1" t="s">
        <v>26</v>
      </c>
      <c r="B8" s="10">
        <f>B5*0.183</f>
        <v>184647</v>
      </c>
      <c r="C8" s="1" t="s">
        <v>90</v>
      </c>
      <c r="D8" s="3"/>
    </row>
    <row r="9" spans="1:9" x14ac:dyDescent="0.25">
      <c r="A9" s="1" t="s">
        <v>27</v>
      </c>
      <c r="B9" s="10">
        <f>B5*0.05</f>
        <v>50450</v>
      </c>
      <c r="C9" s="1" t="s">
        <v>90</v>
      </c>
      <c r="D9" s="3"/>
    </row>
    <row r="10" spans="1:9" x14ac:dyDescent="0.25">
      <c r="A10" s="3"/>
      <c r="B10" s="3"/>
      <c r="C10" s="3"/>
      <c r="D10" s="3"/>
    </row>
    <row r="11" spans="1:9" x14ac:dyDescent="0.25">
      <c r="A11" s="6" t="s">
        <v>9</v>
      </c>
      <c r="B11" s="2"/>
      <c r="C11" s="2"/>
      <c r="D11" s="7"/>
    </row>
    <row r="12" spans="1:9" x14ac:dyDescent="0.25">
      <c r="A12" s="18" t="s">
        <v>10</v>
      </c>
      <c r="B12" s="17" t="s">
        <v>1</v>
      </c>
      <c r="C12" s="17" t="s">
        <v>2</v>
      </c>
      <c r="D12" s="3"/>
    </row>
    <row r="13" spans="1:9" x14ac:dyDescent="0.25">
      <c r="A13" s="1" t="s">
        <v>13</v>
      </c>
      <c r="B13" s="10">
        <f>B5*B22</f>
        <v>65585000</v>
      </c>
      <c r="C13" s="1" t="s">
        <v>11</v>
      </c>
      <c r="D13" s="3"/>
    </row>
    <row r="14" spans="1:9" x14ac:dyDescent="0.25">
      <c r="A14" s="1"/>
      <c r="B14" s="10">
        <f>B13*B23/100</f>
        <v>0</v>
      </c>
      <c r="C14" s="1" t="s">
        <v>11</v>
      </c>
      <c r="D14" s="3"/>
    </row>
    <row r="15" spans="1:9" x14ac:dyDescent="0.25">
      <c r="A15" s="21" t="s">
        <v>28</v>
      </c>
      <c r="B15" s="22">
        <f>SUM(B13:B14)</f>
        <v>65585000</v>
      </c>
      <c r="C15" s="21" t="s">
        <v>11</v>
      </c>
      <c r="D15" s="3"/>
    </row>
    <row r="16" spans="1:9" x14ac:dyDescent="0.25">
      <c r="A16" s="18" t="s">
        <v>29</v>
      </c>
      <c r="B16" s="17" t="s">
        <v>1</v>
      </c>
      <c r="C16" s="17" t="s">
        <v>2</v>
      </c>
      <c r="D16" s="3"/>
    </row>
    <row r="17" spans="1:4" x14ac:dyDescent="0.25">
      <c r="A17" s="1" t="s">
        <v>13</v>
      </c>
      <c r="B17" s="10">
        <v>0</v>
      </c>
      <c r="C17" s="1" t="s">
        <v>11</v>
      </c>
      <c r="D17" s="3"/>
    </row>
    <row r="18" spans="1:4" x14ac:dyDescent="0.25">
      <c r="A18" s="21" t="s">
        <v>30</v>
      </c>
      <c r="B18" s="22">
        <f>SUM(B16:B17)</f>
        <v>0</v>
      </c>
      <c r="C18" s="21" t="s">
        <v>11</v>
      </c>
      <c r="D18" s="3"/>
    </row>
    <row r="19" spans="1:4" x14ac:dyDescent="0.25">
      <c r="A19" s="3"/>
      <c r="B19" s="3"/>
      <c r="C19" s="3"/>
      <c r="D19" s="3"/>
    </row>
    <row r="20" spans="1:4" x14ac:dyDescent="0.25">
      <c r="A20" s="12" t="s">
        <v>17</v>
      </c>
      <c r="B20" s="13"/>
      <c r="C20" s="13"/>
      <c r="D20" s="13"/>
    </row>
    <row r="21" spans="1:4" x14ac:dyDescent="0.25">
      <c r="A21" s="4" t="s">
        <v>31</v>
      </c>
      <c r="B21" s="4" t="s">
        <v>1</v>
      </c>
      <c r="C21" s="4" t="s">
        <v>2</v>
      </c>
      <c r="D21" s="4" t="s">
        <v>3</v>
      </c>
    </row>
    <row r="22" spans="1:4" x14ac:dyDescent="0.25">
      <c r="A22" s="1" t="s">
        <v>32</v>
      </c>
      <c r="B22" s="1">
        <v>65</v>
      </c>
      <c r="C22" s="1" t="s">
        <v>100</v>
      </c>
      <c r="D22" s="1" t="s">
        <v>175</v>
      </c>
    </row>
    <row r="23" spans="1:4" x14ac:dyDescent="0.25">
      <c r="A23" s="1"/>
      <c r="B23" s="1"/>
      <c r="C23" s="1"/>
      <c r="D23" s="1"/>
    </row>
  </sheetData>
  <pageMargins left="0.7" right="0.7" top="0.75" bottom="0.75" header="0.3" footer="0.3"/>
  <pageSetup scale="4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46"/>
  <sheetViews>
    <sheetView zoomScale="107" zoomScaleNormal="107" workbookViewId="0">
      <pane ySplit="1" topLeftCell="A11" activePane="bottomLeft" state="frozenSplit"/>
      <selection pane="bottomLeft" activeCell="B16" sqref="B16"/>
    </sheetView>
  </sheetViews>
  <sheetFormatPr defaultColWidth="9.140625" defaultRowHeight="15" x14ac:dyDescent="0.25"/>
  <cols>
    <col min="1" max="1" width="43.42578125" style="3" customWidth="1"/>
    <col min="2" max="2" width="36.85546875" style="3" customWidth="1"/>
    <col min="3" max="3" width="32.7109375" style="3" customWidth="1"/>
    <col min="4" max="4" width="40.7109375" style="3" customWidth="1"/>
    <col min="5" max="6" width="9.140625" style="3"/>
    <col min="7" max="7" width="42.42578125" style="3" customWidth="1"/>
    <col min="8" max="8" width="21.28515625" style="3" customWidth="1"/>
    <col min="9" max="9" width="17" style="3" customWidth="1"/>
    <col min="10" max="16384" width="9.140625" style="3"/>
  </cols>
  <sheetData>
    <row r="1" spans="1:9" s="37" customFormat="1" ht="18.75" x14ac:dyDescent="0.3">
      <c r="A1" s="14" t="s">
        <v>110</v>
      </c>
      <c r="B1" s="15"/>
      <c r="C1" s="15"/>
      <c r="D1" s="15"/>
      <c r="E1" s="15"/>
      <c r="F1" s="15"/>
      <c r="G1" s="15"/>
      <c r="H1" s="15"/>
      <c r="I1" s="15"/>
    </row>
    <row r="3" spans="1:9" x14ac:dyDescent="0.25">
      <c r="A3" s="6" t="s">
        <v>6</v>
      </c>
      <c r="B3" s="2"/>
      <c r="C3" s="2"/>
      <c r="D3" s="38" t="s">
        <v>22</v>
      </c>
    </row>
    <row r="4" spans="1:9" x14ac:dyDescent="0.25">
      <c r="A4" s="17" t="s">
        <v>7</v>
      </c>
      <c r="B4" s="17" t="s">
        <v>1</v>
      </c>
      <c r="C4" s="17" t="s">
        <v>2</v>
      </c>
    </row>
    <row r="5" spans="1:9" x14ac:dyDescent="0.25">
      <c r="A5" s="1" t="s">
        <v>25</v>
      </c>
      <c r="B5" s="10">
        <f>'2.MechanicalJuiceExtraction'!B7</f>
        <v>766840</v>
      </c>
      <c r="C5" s="1" t="s">
        <v>90</v>
      </c>
    </row>
    <row r="6" spans="1:9" x14ac:dyDescent="0.25">
      <c r="A6" s="17" t="s">
        <v>177</v>
      </c>
      <c r="B6" s="17" t="s">
        <v>1</v>
      </c>
      <c r="C6" s="17" t="s">
        <v>2</v>
      </c>
    </row>
    <row r="7" spans="1:9" x14ac:dyDescent="0.25">
      <c r="A7" s="1" t="s">
        <v>176</v>
      </c>
      <c r="B7" s="10">
        <f>B5-B10/22.4*(56%*16+44%*44)/1000</f>
        <v>749926.17338306282</v>
      </c>
      <c r="C7" s="1"/>
    </row>
    <row r="8" spans="1:9" x14ac:dyDescent="0.25">
      <c r="A8" s="1"/>
      <c r="B8" s="10"/>
      <c r="C8" s="1"/>
    </row>
    <row r="9" spans="1:9" x14ac:dyDescent="0.25">
      <c r="A9" s="17" t="s">
        <v>8</v>
      </c>
      <c r="B9" s="17" t="s">
        <v>1</v>
      </c>
      <c r="C9" s="17" t="s">
        <v>2</v>
      </c>
    </row>
    <row r="10" spans="1:9" x14ac:dyDescent="0.25">
      <c r="A10" s="1" t="s">
        <v>119</v>
      </c>
      <c r="B10" s="10">
        <f>B5*B31*B34</f>
        <v>13378167.945599997</v>
      </c>
      <c r="C10" s="1" t="s">
        <v>120</v>
      </c>
    </row>
    <row r="11" spans="1:9" x14ac:dyDescent="0.25">
      <c r="A11" s="1" t="s">
        <v>101</v>
      </c>
      <c r="B11" s="10">
        <f>B10*B37/100</f>
        <v>7518530.3854271984</v>
      </c>
      <c r="C11" s="1" t="s">
        <v>120</v>
      </c>
    </row>
    <row r="12" spans="1:9" x14ac:dyDescent="0.25">
      <c r="A12" s="1" t="s">
        <v>102</v>
      </c>
      <c r="B12" s="10">
        <f>B10*B38/100</f>
        <v>5859637.560172799</v>
      </c>
      <c r="C12" s="1" t="s">
        <v>120</v>
      </c>
      <c r="D12" s="16"/>
    </row>
    <row r="14" spans="1:9" x14ac:dyDescent="0.25">
      <c r="A14" s="6" t="s">
        <v>9</v>
      </c>
      <c r="B14" s="2"/>
      <c r="C14" s="2"/>
      <c r="D14" s="7"/>
    </row>
    <row r="15" spans="1:9" x14ac:dyDescent="0.25">
      <c r="A15" s="18" t="s">
        <v>10</v>
      </c>
      <c r="B15" s="17" t="s">
        <v>1</v>
      </c>
      <c r="C15" s="17" t="s">
        <v>2</v>
      </c>
    </row>
    <row r="16" spans="1:9" x14ac:dyDescent="0.25">
      <c r="A16" s="1" t="s">
        <v>127</v>
      </c>
      <c r="B16" s="10">
        <f>B5*B42</f>
        <v>35428008</v>
      </c>
      <c r="C16" s="1" t="s">
        <v>11</v>
      </c>
    </row>
    <row r="17" spans="1:8" x14ac:dyDescent="0.25">
      <c r="A17" s="1" t="s">
        <v>128</v>
      </c>
      <c r="B17" s="10">
        <f>B5*B43</f>
        <v>3542800.8000000003</v>
      </c>
      <c r="C17" s="1" t="s">
        <v>11</v>
      </c>
    </row>
    <row r="18" spans="1:8" x14ac:dyDescent="0.25">
      <c r="A18" s="1"/>
      <c r="B18" s="10"/>
      <c r="C18" s="1"/>
    </row>
    <row r="19" spans="1:8" x14ac:dyDescent="0.25">
      <c r="A19" s="21" t="s">
        <v>28</v>
      </c>
      <c r="B19" s="22">
        <f>SUM(B16:B17)</f>
        <v>38970808.799999997</v>
      </c>
      <c r="C19" s="21" t="s">
        <v>11</v>
      </c>
    </row>
    <row r="20" spans="1:8" x14ac:dyDescent="0.25">
      <c r="A20" s="18" t="s">
        <v>29</v>
      </c>
      <c r="B20" s="17" t="s">
        <v>1</v>
      </c>
      <c r="C20" s="17" t="s">
        <v>2</v>
      </c>
    </row>
    <row r="21" spans="1:8" x14ac:dyDescent="0.25">
      <c r="A21" s="1" t="s">
        <v>129</v>
      </c>
      <c r="B21" s="10">
        <f>B11*B46</f>
        <v>263148563.48995194</v>
      </c>
      <c r="C21" s="1" t="s">
        <v>11</v>
      </c>
    </row>
    <row r="23" spans="1:8" x14ac:dyDescent="0.25">
      <c r="A23" s="12" t="s">
        <v>17</v>
      </c>
      <c r="B23" s="13"/>
      <c r="C23" s="13"/>
      <c r="D23" s="13"/>
    </row>
    <row r="24" spans="1:8" x14ac:dyDescent="0.25">
      <c r="A24" s="4" t="s">
        <v>107</v>
      </c>
      <c r="B24" s="4" t="s">
        <v>1</v>
      </c>
      <c r="C24" s="4" t="s">
        <v>2</v>
      </c>
      <c r="D24" s="4" t="s">
        <v>3</v>
      </c>
    </row>
    <row r="25" spans="1:8" x14ac:dyDescent="0.25">
      <c r="A25" s="1" t="s">
        <v>103</v>
      </c>
      <c r="B25" s="1">
        <v>20</v>
      </c>
      <c r="C25" s="1" t="s">
        <v>104</v>
      </c>
      <c r="D25" s="1" t="s">
        <v>106</v>
      </c>
    </row>
    <row r="26" spans="1:8" x14ac:dyDescent="0.25">
      <c r="A26" s="1" t="s">
        <v>105</v>
      </c>
      <c r="B26" s="1">
        <v>35</v>
      </c>
      <c r="C26" s="1" t="s">
        <v>35</v>
      </c>
      <c r="D26" s="1" t="s">
        <v>106</v>
      </c>
      <c r="G26" s="16"/>
      <c r="H26" s="47"/>
    </row>
    <row r="27" spans="1:8" x14ac:dyDescent="0.25">
      <c r="A27" s="1" t="s">
        <v>108</v>
      </c>
      <c r="B27" s="1" t="s">
        <v>109</v>
      </c>
      <c r="C27" s="1"/>
      <c r="D27" s="1"/>
    </row>
    <row r="28" spans="1:8" x14ac:dyDescent="0.25">
      <c r="A28" s="23"/>
      <c r="B28" s="24"/>
      <c r="C28" s="24"/>
      <c r="D28" s="24"/>
    </row>
    <row r="29" spans="1:8" x14ac:dyDescent="0.25">
      <c r="A29" s="4" t="s">
        <v>113</v>
      </c>
      <c r="B29" s="4" t="s">
        <v>1</v>
      </c>
      <c r="C29" s="4" t="s">
        <v>2</v>
      </c>
      <c r="D29" s="4" t="s">
        <v>3</v>
      </c>
    </row>
    <row r="30" spans="1:8" x14ac:dyDescent="0.25">
      <c r="A30" s="1" t="s">
        <v>114</v>
      </c>
      <c r="B30" s="1">
        <v>2.682E-2</v>
      </c>
      <c r="C30" s="1" t="s">
        <v>121</v>
      </c>
      <c r="D30" s="1" t="s">
        <v>106</v>
      </c>
    </row>
    <row r="31" spans="1:8" x14ac:dyDescent="0.25">
      <c r="A31" s="1" t="s">
        <v>115</v>
      </c>
      <c r="B31" s="1">
        <v>1.8519999999999998E-2</v>
      </c>
      <c r="C31" s="1" t="s">
        <v>121</v>
      </c>
      <c r="D31" s="1" t="s">
        <v>106</v>
      </c>
    </row>
    <row r="33" spans="1:5" x14ac:dyDescent="0.25">
      <c r="A33" s="5" t="s">
        <v>111</v>
      </c>
      <c r="B33" s="5" t="s">
        <v>1</v>
      </c>
      <c r="C33" s="5" t="s">
        <v>2</v>
      </c>
      <c r="D33" s="5" t="s">
        <v>3</v>
      </c>
    </row>
    <row r="34" spans="1:5" x14ac:dyDescent="0.25">
      <c r="A34" s="26" t="s">
        <v>111</v>
      </c>
      <c r="B34" s="27">
        <v>942</v>
      </c>
      <c r="C34" s="26" t="s">
        <v>122</v>
      </c>
      <c r="D34" s="1" t="s">
        <v>106</v>
      </c>
    </row>
    <row r="36" spans="1:5" x14ac:dyDescent="0.25">
      <c r="A36" s="25" t="s">
        <v>112</v>
      </c>
      <c r="B36" s="25" t="s">
        <v>36</v>
      </c>
      <c r="C36" s="25" t="s">
        <v>37</v>
      </c>
      <c r="D36" s="11" t="s">
        <v>3</v>
      </c>
    </row>
    <row r="37" spans="1:5" x14ac:dyDescent="0.25">
      <c r="A37" s="26" t="s">
        <v>79</v>
      </c>
      <c r="B37" s="29">
        <v>56.2</v>
      </c>
      <c r="C37" s="26" t="s">
        <v>118</v>
      </c>
      <c r="D37" s="1" t="s">
        <v>106</v>
      </c>
    </row>
    <row r="38" spans="1:5" x14ac:dyDescent="0.25">
      <c r="A38" s="26" t="s">
        <v>116</v>
      </c>
      <c r="B38" s="27">
        <v>43.8</v>
      </c>
      <c r="C38" s="26" t="s">
        <v>118</v>
      </c>
      <c r="D38" s="1" t="s">
        <v>106</v>
      </c>
    </row>
    <row r="39" spans="1:5" x14ac:dyDescent="0.25">
      <c r="A39" s="26" t="s">
        <v>117</v>
      </c>
      <c r="B39" s="27">
        <v>0</v>
      </c>
      <c r="C39" s="26" t="s">
        <v>118</v>
      </c>
      <c r="D39" s="1" t="s">
        <v>106</v>
      </c>
      <c r="E39" s="3" t="s">
        <v>137</v>
      </c>
    </row>
    <row r="40" spans="1:5" x14ac:dyDescent="0.25">
      <c r="A40" s="26"/>
      <c r="B40" s="27"/>
      <c r="C40" s="28"/>
      <c r="D40" s="1"/>
    </row>
    <row r="41" spans="1:5" x14ac:dyDescent="0.25">
      <c r="A41" s="25" t="s">
        <v>130</v>
      </c>
      <c r="B41" s="25" t="s">
        <v>36</v>
      </c>
      <c r="C41" s="25" t="s">
        <v>37</v>
      </c>
      <c r="D41" s="11" t="s">
        <v>3</v>
      </c>
    </row>
    <row r="42" spans="1:5" x14ac:dyDescent="0.25">
      <c r="A42" s="26" t="s">
        <v>123</v>
      </c>
      <c r="B42" s="29">
        <f>4.2*(35-25)*(1+10%)</f>
        <v>46.2</v>
      </c>
      <c r="C42" s="26" t="s">
        <v>125</v>
      </c>
      <c r="D42" s="1" t="s">
        <v>178</v>
      </c>
    </row>
    <row r="43" spans="1:5" x14ac:dyDescent="0.25">
      <c r="A43" s="26" t="s">
        <v>124</v>
      </c>
      <c r="B43" s="27">
        <f>B42*10%</f>
        <v>4.62</v>
      </c>
      <c r="C43" s="26" t="s">
        <v>125</v>
      </c>
      <c r="D43" s="1" t="s">
        <v>126</v>
      </c>
    </row>
    <row r="44" spans="1:5" x14ac:dyDescent="0.25">
      <c r="A44" s="26"/>
      <c r="B44" s="27"/>
      <c r="C44" s="26"/>
      <c r="D44" s="1"/>
    </row>
    <row r="45" spans="1:5" x14ac:dyDescent="0.25">
      <c r="A45" s="26" t="s">
        <v>131</v>
      </c>
      <c r="B45" s="27">
        <v>50</v>
      </c>
      <c r="C45" s="28" t="s">
        <v>12</v>
      </c>
      <c r="D45" s="1"/>
    </row>
    <row r="46" spans="1:5" x14ac:dyDescent="0.25">
      <c r="A46" s="26" t="s">
        <v>131</v>
      </c>
      <c r="B46" s="1">
        <v>35</v>
      </c>
      <c r="C46" s="1" t="s">
        <v>132</v>
      </c>
      <c r="D46" s="1" t="s">
        <v>133</v>
      </c>
    </row>
  </sheetData>
  <phoneticPr fontId="9" type="noConversion"/>
  <pageMargins left="0.7" right="0.7" top="0.75" bottom="0.75" header="0.3" footer="0.3"/>
  <pageSetup scale="5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38"/>
  <sheetViews>
    <sheetView zoomScale="107" zoomScaleNormal="100" workbookViewId="0">
      <pane ySplit="1" topLeftCell="A2" activePane="bottomLeft" state="frozenSplit"/>
      <selection pane="bottomLeft" activeCell="A38" sqref="A38:C38"/>
    </sheetView>
  </sheetViews>
  <sheetFormatPr defaultColWidth="9.140625" defaultRowHeight="15" x14ac:dyDescent="0.25"/>
  <cols>
    <col min="1" max="1" width="51.7109375" style="3" customWidth="1"/>
    <col min="2" max="2" width="21.140625" style="3" customWidth="1"/>
    <col min="3" max="3" width="26.140625" style="3" customWidth="1"/>
    <col min="4" max="4" width="20.28515625" style="3" customWidth="1"/>
    <col min="5" max="5" width="9.140625" style="3"/>
    <col min="6" max="6" width="21.7109375" style="3" customWidth="1"/>
    <col min="7" max="7" width="26.28515625" style="3" customWidth="1"/>
    <col min="8" max="8" width="21.28515625" style="3" customWidth="1"/>
    <col min="9" max="9" width="17" style="3" customWidth="1"/>
    <col min="10" max="16384" width="9.140625" style="3"/>
  </cols>
  <sheetData>
    <row r="1" spans="1:9" s="37" customFormat="1" ht="18.75" x14ac:dyDescent="0.3">
      <c r="A1" s="14" t="s">
        <v>134</v>
      </c>
      <c r="B1" s="15"/>
      <c r="C1" s="15"/>
      <c r="D1" s="15"/>
      <c r="E1" s="15"/>
      <c r="F1" s="15"/>
      <c r="G1" s="15"/>
      <c r="H1" s="15"/>
      <c r="I1" s="15"/>
    </row>
    <row r="3" spans="1:9" x14ac:dyDescent="0.25">
      <c r="A3" s="6" t="s">
        <v>6</v>
      </c>
      <c r="B3" s="2"/>
      <c r="C3" s="2"/>
      <c r="D3" s="38" t="s">
        <v>22</v>
      </c>
    </row>
    <row r="4" spans="1:9" x14ac:dyDescent="0.25">
      <c r="A4" s="17" t="s">
        <v>38</v>
      </c>
      <c r="B4" s="17" t="s">
        <v>1</v>
      </c>
      <c r="C4" s="17" t="s">
        <v>2</v>
      </c>
    </row>
    <row r="5" spans="1:9" x14ac:dyDescent="0.25">
      <c r="A5" s="1" t="s">
        <v>135</v>
      </c>
      <c r="B5" s="10">
        <f>'3.AD'!B10</f>
        <v>13378167.945599997</v>
      </c>
      <c r="C5" s="1" t="s">
        <v>120</v>
      </c>
    </row>
    <row r="6" spans="1:9" x14ac:dyDescent="0.25">
      <c r="A6" s="17" t="s">
        <v>39</v>
      </c>
      <c r="B6" s="17" t="s">
        <v>1</v>
      </c>
      <c r="C6" s="17" t="s">
        <v>2</v>
      </c>
    </row>
    <row r="7" spans="1:9" x14ac:dyDescent="0.25">
      <c r="A7" s="1" t="s">
        <v>136</v>
      </c>
      <c r="B7" s="10">
        <f>B5*'3.AD'!B37/100*B21/100</f>
        <v>7368159.7777186548</v>
      </c>
      <c r="C7" s="1" t="s">
        <v>156</v>
      </c>
      <c r="D7" s="3" t="s">
        <v>157</v>
      </c>
    </row>
    <row r="8" spans="1:9" x14ac:dyDescent="0.25">
      <c r="A8" s="1" t="s">
        <v>136</v>
      </c>
      <c r="B8" s="10">
        <f>B7/B35</f>
        <v>5300.8343724594642</v>
      </c>
      <c r="C8" s="1" t="s">
        <v>90</v>
      </c>
    </row>
    <row r="10" spans="1:9" x14ac:dyDescent="0.25">
      <c r="A10" s="6" t="s">
        <v>9</v>
      </c>
      <c r="B10" s="2"/>
      <c r="C10" s="2"/>
      <c r="D10" s="7"/>
    </row>
    <row r="11" spans="1:9" x14ac:dyDescent="0.25">
      <c r="A11" s="18" t="s">
        <v>10</v>
      </c>
      <c r="B11" s="17" t="s">
        <v>1</v>
      </c>
      <c r="C11" s="17" t="s">
        <v>2</v>
      </c>
    </row>
    <row r="12" spans="1:9" x14ac:dyDescent="0.25">
      <c r="A12" s="1" t="s">
        <v>13</v>
      </c>
      <c r="B12" s="10">
        <f>B5*SUM(B28:B32)*B38</f>
        <v>30341684.900620792</v>
      </c>
      <c r="C12" s="1" t="s">
        <v>11</v>
      </c>
    </row>
    <row r="13" spans="1:9" x14ac:dyDescent="0.25">
      <c r="A13" s="1"/>
      <c r="B13" s="10"/>
      <c r="C13" s="1"/>
    </row>
    <row r="14" spans="1:9" x14ac:dyDescent="0.25">
      <c r="A14" s="21" t="s">
        <v>28</v>
      </c>
      <c r="B14" s="22">
        <f>SUM(B12:B13)</f>
        <v>30341684.900620792</v>
      </c>
      <c r="C14" s="21" t="s">
        <v>11</v>
      </c>
    </row>
    <row r="15" spans="1:9" x14ac:dyDescent="0.25">
      <c r="A15" s="18" t="s">
        <v>29</v>
      </c>
      <c r="B15" s="17" t="s">
        <v>1</v>
      </c>
      <c r="C15" s="17" t="s">
        <v>2</v>
      </c>
    </row>
    <row r="16" spans="1:9" x14ac:dyDescent="0.25">
      <c r="A16" s="1" t="s">
        <v>153</v>
      </c>
      <c r="B16" s="10">
        <f>B8*'1.Collection&amp;Transportation'!B29*1000</f>
        <v>265041718.6229732</v>
      </c>
      <c r="C16" s="1" t="s">
        <v>11</v>
      </c>
      <c r="D16" s="3">
        <f>B8*50*1000</f>
        <v>265041718.6229732</v>
      </c>
    </row>
    <row r="18" spans="1:4" x14ac:dyDescent="0.25">
      <c r="A18" s="12" t="s">
        <v>17</v>
      </c>
      <c r="B18" s="13"/>
      <c r="C18" s="13"/>
      <c r="D18" s="13"/>
    </row>
    <row r="19" spans="1:4" x14ac:dyDescent="0.25">
      <c r="A19" s="4" t="s">
        <v>146</v>
      </c>
      <c r="B19" s="4" t="s">
        <v>1</v>
      </c>
      <c r="C19" s="4" t="s">
        <v>2</v>
      </c>
      <c r="D19" s="4" t="s">
        <v>3</v>
      </c>
    </row>
    <row r="20" spans="1:4" x14ac:dyDescent="0.25">
      <c r="A20" s="1" t="s">
        <v>139</v>
      </c>
      <c r="B20" s="1">
        <v>96</v>
      </c>
      <c r="C20" s="1" t="s">
        <v>138</v>
      </c>
      <c r="D20" s="1"/>
    </row>
    <row r="21" spans="1:4" x14ac:dyDescent="0.25">
      <c r="A21" s="1" t="s">
        <v>140</v>
      </c>
      <c r="B21" s="1">
        <v>98</v>
      </c>
      <c r="C21" s="1" t="s">
        <v>138</v>
      </c>
      <c r="D21" s="1"/>
    </row>
    <row r="22" spans="1:4" x14ac:dyDescent="0.25">
      <c r="A22" s="1" t="s">
        <v>141</v>
      </c>
      <c r="B22" s="53" t="s">
        <v>142</v>
      </c>
      <c r="C22" s="1" t="s">
        <v>143</v>
      </c>
      <c r="D22" s="1"/>
    </row>
    <row r="23" spans="1:4" x14ac:dyDescent="0.25">
      <c r="A23" s="1"/>
      <c r="B23" s="1"/>
      <c r="C23" s="1"/>
      <c r="D23" s="1"/>
    </row>
    <row r="24" spans="1:4" x14ac:dyDescent="0.25">
      <c r="A24" s="1" t="s">
        <v>144</v>
      </c>
      <c r="B24" s="1">
        <v>99</v>
      </c>
      <c r="C24" s="1" t="s">
        <v>138</v>
      </c>
      <c r="D24" s="1"/>
    </row>
    <row r="25" spans="1:4" x14ac:dyDescent="0.25">
      <c r="A25" s="1" t="s">
        <v>145</v>
      </c>
      <c r="B25" s="1">
        <v>1</v>
      </c>
      <c r="C25" s="1" t="s">
        <v>138</v>
      </c>
      <c r="D25" s="1"/>
    </row>
    <row r="27" spans="1:4" x14ac:dyDescent="0.25">
      <c r="A27" s="4" t="s">
        <v>147</v>
      </c>
      <c r="B27" s="4" t="s">
        <v>1</v>
      </c>
      <c r="C27" s="4" t="s">
        <v>2</v>
      </c>
      <c r="D27" s="4" t="s">
        <v>3</v>
      </c>
    </row>
    <row r="28" spans="1:4" x14ac:dyDescent="0.25">
      <c r="A28" s="1" t="s">
        <v>148</v>
      </c>
      <c r="B28" s="1">
        <v>0.22</v>
      </c>
      <c r="C28" s="1" t="s">
        <v>162</v>
      </c>
      <c r="D28" s="1"/>
    </row>
    <row r="29" spans="1:4" x14ac:dyDescent="0.25">
      <c r="A29" s="1" t="s">
        <v>150</v>
      </c>
      <c r="B29" s="1">
        <v>0.03</v>
      </c>
      <c r="C29" s="1" t="s">
        <v>162</v>
      </c>
      <c r="D29" s="1"/>
    </row>
    <row r="30" spans="1:4" x14ac:dyDescent="0.25">
      <c r="A30" s="1" t="s">
        <v>151</v>
      </c>
      <c r="B30" s="1">
        <v>0.01</v>
      </c>
      <c r="C30" s="1" t="s">
        <v>162</v>
      </c>
      <c r="D30" s="1"/>
    </row>
    <row r="31" spans="1:4" x14ac:dyDescent="0.25">
      <c r="A31" s="1" t="s">
        <v>152</v>
      </c>
      <c r="B31" s="1">
        <v>0.02</v>
      </c>
      <c r="C31" s="1" t="s">
        <v>162</v>
      </c>
      <c r="D31" s="1"/>
    </row>
    <row r="32" spans="1:4" x14ac:dyDescent="0.25">
      <c r="A32" s="1" t="s">
        <v>154</v>
      </c>
      <c r="B32" s="1">
        <v>0.35</v>
      </c>
      <c r="C32" s="1" t="s">
        <v>162</v>
      </c>
      <c r="D32" s="1" t="s">
        <v>155</v>
      </c>
    </row>
    <row r="34" spans="1:4" x14ac:dyDescent="0.25">
      <c r="A34" s="4" t="s">
        <v>158</v>
      </c>
      <c r="B34" s="4" t="s">
        <v>1</v>
      </c>
      <c r="C34" s="4" t="s">
        <v>2</v>
      </c>
      <c r="D34" s="4" t="s">
        <v>3</v>
      </c>
    </row>
    <row r="35" spans="1:4" x14ac:dyDescent="0.25">
      <c r="A35" s="1" t="s">
        <v>159</v>
      </c>
      <c r="B35" s="1">
        <v>1390</v>
      </c>
      <c r="C35" s="1" t="s">
        <v>160</v>
      </c>
      <c r="D35" s="1" t="s">
        <v>161</v>
      </c>
    </row>
    <row r="36" spans="1:4" x14ac:dyDescent="0.25">
      <c r="A36" s="1" t="s">
        <v>150</v>
      </c>
      <c r="B36" s="1">
        <v>0.03</v>
      </c>
      <c r="C36" s="1" t="s">
        <v>149</v>
      </c>
      <c r="D36" s="1"/>
    </row>
    <row r="38" spans="1:4" x14ac:dyDescent="0.25">
      <c r="A38" s="3" t="s">
        <v>163</v>
      </c>
      <c r="B38" s="3">
        <v>3.6</v>
      </c>
      <c r="C38" s="3" t="s">
        <v>164</v>
      </c>
    </row>
  </sheetData>
  <pageMargins left="0.7" right="0.7" top="0.75" bottom="0.75" header="0.3" footer="0.3"/>
  <pageSetup scale="5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22A3E-DABA-48EB-B81C-CD5F2F7CC21D}">
  <sheetPr>
    <pageSetUpPr fitToPage="1"/>
  </sheetPr>
  <dimension ref="A1:I31"/>
  <sheetViews>
    <sheetView zoomScaleNormal="100" workbookViewId="0">
      <pane ySplit="1" topLeftCell="A2" activePane="bottomLeft" state="frozenSplit"/>
      <selection pane="bottomLeft" activeCell="C14" sqref="C14"/>
    </sheetView>
  </sheetViews>
  <sheetFormatPr defaultColWidth="9.140625" defaultRowHeight="15" x14ac:dyDescent="0.25"/>
  <cols>
    <col min="1" max="1" width="42.28515625" style="3" customWidth="1"/>
    <col min="2" max="2" width="25.85546875" style="3" customWidth="1"/>
    <col min="3" max="3" width="26.140625" style="3" customWidth="1"/>
    <col min="4" max="4" width="32.140625" style="3" customWidth="1"/>
    <col min="5" max="6" width="9.140625" style="3"/>
    <col min="7" max="7" width="39.28515625" style="3" customWidth="1"/>
    <col min="8" max="8" width="21.28515625" style="3" customWidth="1"/>
    <col min="9" max="9" width="17" style="3" customWidth="1"/>
    <col min="10" max="16384" width="9.140625" style="3"/>
  </cols>
  <sheetData>
    <row r="1" spans="1:9" s="37" customFormat="1" ht="18.75" x14ac:dyDescent="0.3">
      <c r="A1" s="14" t="s">
        <v>41</v>
      </c>
      <c r="B1" s="15"/>
      <c r="C1" s="15"/>
      <c r="D1" s="15"/>
      <c r="E1" s="15"/>
      <c r="F1" s="15"/>
      <c r="G1" s="15"/>
      <c r="H1" s="15"/>
      <c r="I1" s="15"/>
    </row>
    <row r="3" spans="1:9" x14ac:dyDescent="0.25">
      <c r="A3" s="6" t="s">
        <v>6</v>
      </c>
      <c r="B3" s="2"/>
      <c r="C3" s="2"/>
      <c r="D3" s="38" t="s">
        <v>22</v>
      </c>
      <c r="F3" s="7"/>
    </row>
    <row r="4" spans="1:9" x14ac:dyDescent="0.25">
      <c r="A4" s="17" t="s">
        <v>7</v>
      </c>
      <c r="B4" s="17" t="s">
        <v>1</v>
      </c>
      <c r="C4" s="17" t="s">
        <v>2</v>
      </c>
    </row>
    <row r="5" spans="1:9" x14ac:dyDescent="0.25">
      <c r="A5" s="1" t="s">
        <v>166</v>
      </c>
      <c r="B5" s="10">
        <f>'2.MechanicalJuiceExtraction'!B8</f>
        <v>184647</v>
      </c>
      <c r="C5" s="1" t="s">
        <v>90</v>
      </c>
    </row>
    <row r="6" spans="1:9" x14ac:dyDescent="0.25">
      <c r="A6" s="17" t="s">
        <v>8</v>
      </c>
      <c r="B6" s="17" t="s">
        <v>1</v>
      </c>
      <c r="C6" s="17" t="s">
        <v>2</v>
      </c>
    </row>
    <row r="7" spans="1:9" x14ac:dyDescent="0.25">
      <c r="A7" s="1" t="s">
        <v>167</v>
      </c>
      <c r="B7" s="10">
        <f>B5*B31/100</f>
        <v>92323.5</v>
      </c>
      <c r="C7" s="1" t="s">
        <v>90</v>
      </c>
      <c r="D7" s="16" t="s">
        <v>42</v>
      </c>
    </row>
    <row r="9" spans="1:9" x14ac:dyDescent="0.25">
      <c r="A9" s="6" t="s">
        <v>9</v>
      </c>
      <c r="B9" s="2"/>
      <c r="C9" s="2"/>
      <c r="D9" s="7"/>
      <c r="F9" s="7"/>
    </row>
    <row r="10" spans="1:9" x14ac:dyDescent="0.25">
      <c r="A10" s="18" t="s">
        <v>10</v>
      </c>
      <c r="B10" s="17" t="s">
        <v>1</v>
      </c>
      <c r="C10" s="17" t="s">
        <v>2</v>
      </c>
    </row>
    <row r="11" spans="1:9" x14ac:dyDescent="0.25">
      <c r="A11" s="1" t="s">
        <v>43</v>
      </c>
      <c r="B11" s="10">
        <f>((B5-B7)*(B24*(B23-B22)+B26)+B7*B25*(B23-B22))</f>
        <v>246365259.75</v>
      </c>
      <c r="C11" s="1" t="s">
        <v>11</v>
      </c>
    </row>
    <row r="12" spans="1:9" x14ac:dyDescent="0.25">
      <c r="A12" s="1" t="s">
        <v>44</v>
      </c>
      <c r="B12" s="10">
        <f>B11*B27/100</f>
        <v>4927305.1950000003</v>
      </c>
      <c r="C12" s="1" t="s">
        <v>11</v>
      </c>
    </row>
    <row r="13" spans="1:9" x14ac:dyDescent="0.25">
      <c r="A13" s="1" t="s">
        <v>34</v>
      </c>
      <c r="B13" s="10">
        <f>B11</f>
        <v>246365259.75</v>
      </c>
      <c r="C13" s="1" t="s">
        <v>11</v>
      </c>
    </row>
    <row r="14" spans="1:9" x14ac:dyDescent="0.25">
      <c r="A14" s="19" t="s">
        <v>33</v>
      </c>
      <c r="B14" s="20">
        <f>B12</f>
        <v>4927305.1950000003</v>
      </c>
      <c r="C14" s="19" t="s">
        <v>11</v>
      </c>
    </row>
    <row r="15" spans="1:9" x14ac:dyDescent="0.25">
      <c r="A15" s="21" t="s">
        <v>28</v>
      </c>
      <c r="B15" s="22">
        <f>B13+B14</f>
        <v>251292564.94499999</v>
      </c>
      <c r="C15" s="21" t="s">
        <v>11</v>
      </c>
    </row>
    <row r="16" spans="1:9" x14ac:dyDescent="0.25">
      <c r="A16" s="18" t="s">
        <v>29</v>
      </c>
      <c r="B16" s="17" t="s">
        <v>1</v>
      </c>
      <c r="C16" s="17" t="s">
        <v>2</v>
      </c>
    </row>
    <row r="17" spans="1:4" x14ac:dyDescent="0.25">
      <c r="A17" s="1" t="s">
        <v>45</v>
      </c>
      <c r="B17" s="10">
        <f>B7*B29*1000</f>
        <v>1791075900</v>
      </c>
      <c r="C17" s="1" t="s">
        <v>11</v>
      </c>
    </row>
    <row r="18" spans="1:4" x14ac:dyDescent="0.25">
      <c r="A18" s="21" t="s">
        <v>46</v>
      </c>
      <c r="B18" s="22">
        <f>B17</f>
        <v>1791075900</v>
      </c>
      <c r="C18" s="21" t="s">
        <v>11</v>
      </c>
    </row>
    <row r="20" spans="1:4" x14ac:dyDescent="0.25">
      <c r="A20" s="12" t="s">
        <v>17</v>
      </c>
      <c r="B20" s="13"/>
      <c r="C20" s="13"/>
      <c r="D20" s="13"/>
    </row>
    <row r="21" spans="1:4" x14ac:dyDescent="0.25">
      <c r="A21" s="4" t="s">
        <v>47</v>
      </c>
      <c r="B21" s="4" t="s">
        <v>1</v>
      </c>
      <c r="C21" s="4" t="s">
        <v>2</v>
      </c>
      <c r="D21" s="4" t="s">
        <v>3</v>
      </c>
    </row>
    <row r="22" spans="1:4" x14ac:dyDescent="0.25">
      <c r="A22" s="1" t="s">
        <v>48</v>
      </c>
      <c r="B22" s="1">
        <v>25</v>
      </c>
      <c r="C22" s="1" t="s">
        <v>35</v>
      </c>
      <c r="D22" s="1" t="s">
        <v>49</v>
      </c>
    </row>
    <row r="23" spans="1:4" x14ac:dyDescent="0.25">
      <c r="A23" s="1" t="s">
        <v>50</v>
      </c>
      <c r="B23" s="1">
        <v>100</v>
      </c>
      <c r="C23" s="1" t="s">
        <v>35</v>
      </c>
      <c r="D23" s="1" t="s">
        <v>49</v>
      </c>
    </row>
    <row r="24" spans="1:4" x14ac:dyDescent="0.25">
      <c r="A24" s="1" t="s">
        <v>51</v>
      </c>
      <c r="B24" s="1">
        <v>4.18</v>
      </c>
      <c r="C24" s="1" t="s">
        <v>52</v>
      </c>
      <c r="D24" s="1"/>
    </row>
    <row r="25" spans="1:4" x14ac:dyDescent="0.25">
      <c r="A25" s="1" t="s">
        <v>53</v>
      </c>
      <c r="B25" s="1">
        <v>1.48</v>
      </c>
      <c r="C25" s="1" t="s">
        <v>52</v>
      </c>
      <c r="D25" s="1"/>
    </row>
    <row r="26" spans="1:4" x14ac:dyDescent="0.25">
      <c r="A26" s="1" t="s">
        <v>54</v>
      </c>
      <c r="B26" s="1">
        <v>2244</v>
      </c>
      <c r="C26" s="1" t="s">
        <v>55</v>
      </c>
      <c r="D26" s="1" t="s">
        <v>56</v>
      </c>
    </row>
    <row r="27" spans="1:4" x14ac:dyDescent="0.25">
      <c r="A27" s="1" t="s">
        <v>57</v>
      </c>
      <c r="B27" s="1">
        <v>2</v>
      </c>
      <c r="C27" s="1" t="s">
        <v>40</v>
      </c>
      <c r="D27" s="1" t="s">
        <v>58</v>
      </c>
    </row>
    <row r="28" spans="1:4" x14ac:dyDescent="0.25">
      <c r="A28" s="23"/>
      <c r="B28" s="24"/>
      <c r="C28" s="24"/>
      <c r="D28" s="24"/>
    </row>
    <row r="29" spans="1:4" x14ac:dyDescent="0.25">
      <c r="A29" s="1" t="s">
        <v>59</v>
      </c>
      <c r="B29" s="1">
        <v>19.399999999999999</v>
      </c>
      <c r="C29" s="1" t="s">
        <v>12</v>
      </c>
      <c r="D29" s="1" t="s">
        <v>60</v>
      </c>
    </row>
    <row r="30" spans="1:4" x14ac:dyDescent="0.25">
      <c r="A30" s="1"/>
      <c r="B30" s="1"/>
      <c r="C30" s="1"/>
      <c r="D30" s="1"/>
    </row>
    <row r="31" spans="1:4" x14ac:dyDescent="0.25">
      <c r="A31" s="1" t="s">
        <v>165</v>
      </c>
      <c r="B31" s="1">
        <v>50</v>
      </c>
      <c r="C31" s="1" t="s">
        <v>168</v>
      </c>
      <c r="D31" s="1" t="s">
        <v>169</v>
      </c>
    </row>
  </sheetData>
  <pageMargins left="0.7" right="0.7" top="0.75" bottom="0.75" header="0.3" footer="0.3"/>
  <pageSetup scale="5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309A4-2E27-4887-A096-8217F5E35D08}">
  <sheetPr>
    <pageSetUpPr fitToPage="1"/>
  </sheetPr>
  <dimension ref="A1:E24"/>
  <sheetViews>
    <sheetView tabSelected="1" zoomScale="98" zoomScaleNormal="100" workbookViewId="0">
      <selection activeCell="B15" sqref="B15"/>
    </sheetView>
  </sheetViews>
  <sheetFormatPr defaultRowHeight="15" x14ac:dyDescent="0.25"/>
  <cols>
    <col min="1" max="1" width="36.28515625" customWidth="1"/>
    <col min="2" max="2" width="19.140625" customWidth="1"/>
    <col min="3" max="3" width="22.5703125" customWidth="1"/>
    <col min="4" max="4" width="16" customWidth="1"/>
    <col min="7" max="7" width="25" customWidth="1"/>
    <col min="8" max="8" width="17.42578125" customWidth="1"/>
    <col min="9" max="9" width="26.85546875" customWidth="1"/>
  </cols>
  <sheetData>
    <row r="1" spans="1:4" s="15" customFormat="1" ht="18.75" x14ac:dyDescent="0.3">
      <c r="A1" s="14" t="s">
        <v>181</v>
      </c>
    </row>
    <row r="2" spans="1:4" s="37" customFormat="1" x14ac:dyDescent="0.25">
      <c r="A2" s="3"/>
      <c r="B2" s="3"/>
      <c r="C2" s="3"/>
      <c r="D2" s="3"/>
    </row>
    <row r="3" spans="1:4" s="3" customFormat="1" x14ac:dyDescent="0.25">
      <c r="A3" s="6" t="s">
        <v>6</v>
      </c>
      <c r="B3" s="2"/>
      <c r="C3" s="2"/>
      <c r="D3" s="38" t="s">
        <v>22</v>
      </c>
    </row>
    <row r="4" spans="1:4" s="3" customFormat="1" x14ac:dyDescent="0.25">
      <c r="A4" s="17" t="s">
        <v>7</v>
      </c>
      <c r="B4" s="17" t="s">
        <v>1</v>
      </c>
      <c r="C4" s="17" t="s">
        <v>2</v>
      </c>
    </row>
    <row r="5" spans="1:4" s="3" customFormat="1" x14ac:dyDescent="0.25">
      <c r="A5" s="1" t="s">
        <v>83</v>
      </c>
      <c r="B5" s="10">
        <f>MassFlow!B5</f>
        <v>504500</v>
      </c>
      <c r="C5" s="1" t="s">
        <v>90</v>
      </c>
    </row>
    <row r="6" spans="1:4" x14ac:dyDescent="0.25">
      <c r="A6" s="17" t="s">
        <v>8</v>
      </c>
      <c r="B6" s="17" t="s">
        <v>1</v>
      </c>
      <c r="C6" s="17" t="s">
        <v>2</v>
      </c>
      <c r="D6" s="3"/>
    </row>
    <row r="7" spans="1:4" x14ac:dyDescent="0.25">
      <c r="A7" s="1" t="s">
        <v>83</v>
      </c>
      <c r="B7" s="10">
        <f>B5</f>
        <v>504500</v>
      </c>
      <c r="C7" s="1" t="s">
        <v>90</v>
      </c>
      <c r="D7" s="16" t="s">
        <v>42</v>
      </c>
    </row>
    <row r="8" spans="1:4" x14ac:dyDescent="0.25">
      <c r="A8" s="3"/>
      <c r="B8" s="3"/>
      <c r="C8" s="3"/>
      <c r="D8" s="3"/>
    </row>
    <row r="9" spans="1:4" x14ac:dyDescent="0.25">
      <c r="A9" s="6" t="s">
        <v>9</v>
      </c>
      <c r="B9" s="2"/>
      <c r="C9" s="2"/>
      <c r="D9" s="7"/>
    </row>
    <row r="10" spans="1:4" x14ac:dyDescent="0.25">
      <c r="A10" s="18" t="s">
        <v>10</v>
      </c>
      <c r="B10" s="17" t="s">
        <v>1</v>
      </c>
      <c r="C10" s="17" t="s">
        <v>2</v>
      </c>
      <c r="D10" s="3"/>
    </row>
    <row r="11" spans="1:4" x14ac:dyDescent="0.25">
      <c r="A11" s="1" t="s">
        <v>188</v>
      </c>
      <c r="B11" s="10">
        <v>0</v>
      </c>
      <c r="C11" s="1" t="s">
        <v>11</v>
      </c>
      <c r="D11" s="3"/>
    </row>
    <row r="12" spans="1:4" x14ac:dyDescent="0.25">
      <c r="A12" s="1" t="s">
        <v>189</v>
      </c>
      <c r="B12" s="10">
        <f>B21*B5*B24</f>
        <v>54486000</v>
      </c>
      <c r="C12" s="1" t="s">
        <v>11</v>
      </c>
      <c r="D12" s="3"/>
    </row>
    <row r="13" spans="1:4" x14ac:dyDescent="0.25">
      <c r="A13" s="1" t="s">
        <v>191</v>
      </c>
      <c r="B13" s="10">
        <f>B11</f>
        <v>0</v>
      </c>
      <c r="C13" s="1" t="s">
        <v>11</v>
      </c>
      <c r="D13" s="3"/>
    </row>
    <row r="14" spans="1:4" x14ac:dyDescent="0.25">
      <c r="A14" s="19" t="s">
        <v>190</v>
      </c>
      <c r="B14" s="20">
        <f>B5*B22*B24</f>
        <v>18162000</v>
      </c>
      <c r="C14" s="19" t="s">
        <v>11</v>
      </c>
      <c r="D14" s="3"/>
    </row>
    <row r="15" spans="1:4" x14ac:dyDescent="0.25">
      <c r="A15" s="21" t="s">
        <v>28</v>
      </c>
      <c r="B15" s="22">
        <f>SUM(B11:B14)</f>
        <v>72648000</v>
      </c>
      <c r="C15" s="21" t="s">
        <v>11</v>
      </c>
      <c r="D15" s="3"/>
    </row>
    <row r="16" spans="1:4" x14ac:dyDescent="0.25">
      <c r="A16" s="18" t="s">
        <v>29</v>
      </c>
      <c r="B16" s="17" t="s">
        <v>1</v>
      </c>
      <c r="C16" s="17" t="s">
        <v>2</v>
      </c>
      <c r="D16" s="3"/>
    </row>
    <row r="17" spans="1:5" x14ac:dyDescent="0.25">
      <c r="A17" s="21" t="s">
        <v>46</v>
      </c>
      <c r="B17" s="22">
        <v>0</v>
      </c>
      <c r="C17" s="21" t="s">
        <v>11</v>
      </c>
      <c r="D17" s="3"/>
    </row>
    <row r="18" spans="1:5" x14ac:dyDescent="0.25">
      <c r="A18" s="3"/>
      <c r="B18" s="3"/>
      <c r="C18" s="3"/>
      <c r="D18" s="3"/>
    </row>
    <row r="19" spans="1:5" x14ac:dyDescent="0.25">
      <c r="A19" s="12" t="s">
        <v>17</v>
      </c>
      <c r="B19" s="13"/>
      <c r="C19" s="13"/>
      <c r="D19" s="13"/>
    </row>
    <row r="20" spans="1:5" x14ac:dyDescent="0.25">
      <c r="A20" s="4" t="s">
        <v>47</v>
      </c>
      <c r="B20" s="4" t="s">
        <v>1</v>
      </c>
      <c r="C20" s="4" t="s">
        <v>2</v>
      </c>
      <c r="D20" s="4" t="s">
        <v>3</v>
      </c>
    </row>
    <row r="21" spans="1:5" x14ac:dyDescent="0.25">
      <c r="A21" s="1" t="s">
        <v>182</v>
      </c>
      <c r="B21" s="1">
        <v>30</v>
      </c>
      <c r="C21" s="1" t="s">
        <v>185</v>
      </c>
      <c r="D21" s="1" t="s">
        <v>183</v>
      </c>
      <c r="E21" s="55" t="s">
        <v>184</v>
      </c>
    </row>
    <row r="22" spans="1:5" x14ac:dyDescent="0.25">
      <c r="A22" s="1" t="s">
        <v>186</v>
      </c>
      <c r="B22" s="1">
        <v>10</v>
      </c>
      <c r="C22" s="1" t="s">
        <v>185</v>
      </c>
      <c r="D22" s="1" t="s">
        <v>183</v>
      </c>
      <c r="E22" s="55" t="s">
        <v>187</v>
      </c>
    </row>
    <row r="23" spans="1:5" x14ac:dyDescent="0.25">
      <c r="A23" s="1"/>
      <c r="B23" s="1"/>
      <c r="C23" s="1"/>
      <c r="D23" s="1"/>
    </row>
    <row r="24" spans="1:5" x14ac:dyDescent="0.25">
      <c r="A24" s="1" t="s">
        <v>163</v>
      </c>
      <c r="B24" s="1">
        <v>3.6</v>
      </c>
      <c r="C24" s="1" t="s">
        <v>164</v>
      </c>
      <c r="D24" s="1"/>
    </row>
  </sheetData>
  <pageMargins left="0.7" right="0.7" top="0.75" bottom="0.75" header="0.3" footer="0.3"/>
  <pageSetup scale="68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C04AA-973E-4399-A255-BB64C0AC51A2}">
  <sheetPr>
    <pageSetUpPr fitToPage="1"/>
  </sheetPr>
  <dimension ref="A1:D5"/>
  <sheetViews>
    <sheetView zoomScale="98" zoomScaleNormal="100" workbookViewId="0">
      <selection activeCell="C13" sqref="C13"/>
    </sheetView>
  </sheetViews>
  <sheetFormatPr defaultRowHeight="15" x14ac:dyDescent="0.25"/>
  <cols>
    <col min="1" max="1" width="36.28515625" customWidth="1"/>
    <col min="2" max="2" width="19.140625" customWidth="1"/>
    <col min="3" max="3" width="12.7109375" customWidth="1"/>
    <col min="4" max="4" width="16" customWidth="1"/>
    <col min="7" max="7" width="25" customWidth="1"/>
    <col min="8" max="8" width="17.42578125" customWidth="1"/>
    <col min="9" max="9" width="26.85546875" customWidth="1"/>
  </cols>
  <sheetData>
    <row r="1" spans="1:4" s="15" customFormat="1" ht="18.75" x14ac:dyDescent="0.3">
      <c r="A1" s="14" t="s">
        <v>176</v>
      </c>
    </row>
    <row r="2" spans="1:4" s="37" customFormat="1" ht="18.75" x14ac:dyDescent="0.3">
      <c r="A2" s="36"/>
    </row>
    <row r="3" spans="1:4" s="3" customFormat="1" x14ac:dyDescent="0.25">
      <c r="A3" s="6" t="s">
        <v>6</v>
      </c>
      <c r="B3" s="2"/>
      <c r="C3" s="2"/>
      <c r="D3" s="7"/>
    </row>
    <row r="4" spans="1:4" s="3" customFormat="1" x14ac:dyDescent="0.25">
      <c r="A4" s="17" t="s">
        <v>8</v>
      </c>
      <c r="B4" s="17" t="s">
        <v>1</v>
      </c>
      <c r="C4" s="17" t="s">
        <v>2</v>
      </c>
    </row>
    <row r="5" spans="1:4" s="3" customFormat="1" x14ac:dyDescent="0.25">
      <c r="A5" s="1" t="s">
        <v>176</v>
      </c>
      <c r="B5" s="10">
        <f>'3.AD'!B7</f>
        <v>749926.17338306282</v>
      </c>
      <c r="C5" s="1" t="s">
        <v>90</v>
      </c>
    </row>
  </sheetData>
  <pageMargins left="0.7" right="0.7" top="0.75" bottom="0.75" header="0.3" footer="0.3"/>
  <pageSetup scale="68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8"/>
  <sheetViews>
    <sheetView zoomScale="93" zoomScaleNormal="100" zoomScaleSheetLayoutView="100" workbookViewId="0">
      <selection activeCell="H18" sqref="H18"/>
    </sheetView>
  </sheetViews>
  <sheetFormatPr defaultRowHeight="15" x14ac:dyDescent="0.25"/>
  <cols>
    <col min="1" max="1" width="30.5703125" customWidth="1"/>
    <col min="2" max="2" width="21.28515625" customWidth="1"/>
    <col min="3" max="3" width="18.28515625" customWidth="1"/>
    <col min="4" max="4" width="14.42578125" bestFit="1" customWidth="1"/>
    <col min="5" max="5" width="7.42578125" customWidth="1"/>
    <col min="6" max="6" width="21" customWidth="1"/>
    <col min="7" max="7" width="14.42578125" customWidth="1"/>
    <col min="8" max="8" width="12.42578125" bestFit="1" customWidth="1"/>
    <col min="9" max="9" width="12.28515625" bestFit="1" customWidth="1"/>
  </cols>
  <sheetData>
    <row r="1" spans="1:8" s="37" customFormat="1" ht="18.75" x14ac:dyDescent="0.3">
      <c r="A1" s="14" t="s">
        <v>61</v>
      </c>
      <c r="B1" s="15"/>
      <c r="C1" s="15"/>
      <c r="D1" s="15"/>
      <c r="E1" s="15"/>
      <c r="F1" s="15"/>
      <c r="G1" s="15"/>
      <c r="H1" s="15"/>
    </row>
    <row r="2" spans="1:8" s="37" customFormat="1" ht="18.75" x14ac:dyDescent="0.3">
      <c r="A2" s="36"/>
    </row>
    <row r="3" spans="1:8" s="3" customFormat="1" x14ac:dyDescent="0.25">
      <c r="A3" s="6" t="s">
        <v>62</v>
      </c>
      <c r="B3" s="2"/>
      <c r="C3" s="2"/>
      <c r="D3" s="2"/>
    </row>
    <row r="4" spans="1:8" s="3" customFormat="1" x14ac:dyDescent="0.25">
      <c r="A4" s="35"/>
      <c r="B4" s="34" t="s">
        <v>63</v>
      </c>
      <c r="C4" s="34" t="s">
        <v>64</v>
      </c>
      <c r="D4" s="35" t="s">
        <v>37</v>
      </c>
    </row>
    <row r="5" spans="1:8" s="3" customFormat="1" x14ac:dyDescent="0.25">
      <c r="A5" s="35" t="s">
        <v>170</v>
      </c>
      <c r="B5" s="48">
        <f>'1.Collection&amp;Transportation'!B21</f>
        <v>163389848.88</v>
      </c>
      <c r="C5" s="48"/>
      <c r="D5" s="35" t="s">
        <v>65</v>
      </c>
    </row>
    <row r="6" spans="1:8" s="3" customFormat="1" x14ac:dyDescent="0.25">
      <c r="A6" s="35" t="s">
        <v>171</v>
      </c>
      <c r="B6" s="48">
        <f>'2.MechanicalJuiceExtraction'!B15</f>
        <v>65585000</v>
      </c>
      <c r="C6" s="48">
        <f>'2.MechanicalJuiceExtraction'!B18</f>
        <v>0</v>
      </c>
      <c r="D6" s="35" t="s">
        <v>65</v>
      </c>
    </row>
    <row r="7" spans="1:8" s="3" customFormat="1" x14ac:dyDescent="0.25">
      <c r="A7" s="35" t="s">
        <v>172</v>
      </c>
      <c r="B7" s="48">
        <f>'3.AD'!B19</f>
        <v>38970808.799999997</v>
      </c>
      <c r="C7" s="48"/>
      <c r="D7" s="35" t="s">
        <v>65</v>
      </c>
    </row>
    <row r="8" spans="1:8" s="3" customFormat="1" x14ac:dyDescent="0.25">
      <c r="A8" s="35" t="s">
        <v>173</v>
      </c>
      <c r="B8" s="48">
        <f>'4.RNGupgrading'!B14</f>
        <v>30341684.900620792</v>
      </c>
      <c r="C8" s="48">
        <f>'4.RNGupgrading'!B16</f>
        <v>265041718.6229732</v>
      </c>
      <c r="D8" s="35" t="s">
        <v>65</v>
      </c>
    </row>
    <row r="9" spans="1:8" s="3" customFormat="1" ht="18" customHeight="1" x14ac:dyDescent="0.25">
      <c r="A9" s="35" t="s">
        <v>174</v>
      </c>
      <c r="B9" s="48">
        <f>'5.PulpProduction'!B15</f>
        <v>251292564.94499999</v>
      </c>
      <c r="C9" s="48">
        <f>'5.PulpProduction'!B18</f>
        <v>1791075900</v>
      </c>
      <c r="D9" s="35" t="s">
        <v>65</v>
      </c>
    </row>
    <row r="10" spans="1:8" s="3" customFormat="1" ht="18" customHeight="1" x14ac:dyDescent="0.25">
      <c r="A10" s="35" t="s">
        <v>180</v>
      </c>
      <c r="B10" s="48">
        <f>'6.RefrigerationStorage'!B15</f>
        <v>72648000</v>
      </c>
      <c r="C10" s="48"/>
      <c r="D10" s="35" t="s">
        <v>65</v>
      </c>
    </row>
    <row r="11" spans="1:8" s="3" customFormat="1" x14ac:dyDescent="0.25">
      <c r="A11" s="35"/>
      <c r="B11" s="48"/>
      <c r="C11" s="48"/>
      <c r="D11" s="35"/>
    </row>
    <row r="12" spans="1:8" s="3" customFormat="1" x14ac:dyDescent="0.25">
      <c r="A12" s="35" t="s">
        <v>66</v>
      </c>
      <c r="B12" s="48">
        <f>SUM(B5:B11)</f>
        <v>622227907.52562082</v>
      </c>
      <c r="C12" s="48">
        <f>SUM(C5:C11)</f>
        <v>2056117618.6229732</v>
      </c>
      <c r="D12" s="35" t="s">
        <v>65</v>
      </c>
      <c r="E12" s="33"/>
    </row>
    <row r="13" spans="1:8" s="3" customFormat="1" x14ac:dyDescent="0.25">
      <c r="A13" s="35" t="s">
        <v>67</v>
      </c>
      <c r="B13" s="48">
        <f>B12*0.27777777777</f>
        <v>172841085.41894403</v>
      </c>
      <c r="C13" s="48">
        <f>C12*0.27777777777</f>
        <v>571143782.93483388</v>
      </c>
      <c r="D13" s="35" t="s">
        <v>68</v>
      </c>
      <c r="E13" s="33"/>
    </row>
    <row r="14" spans="1:8" x14ac:dyDescent="0.25">
      <c r="B14" s="30"/>
      <c r="C14" s="30"/>
    </row>
    <row r="15" spans="1:8" x14ac:dyDescent="0.25">
      <c r="A15" s="35" t="s">
        <v>192</v>
      </c>
      <c r="B15" s="48">
        <f>C12-B12</f>
        <v>1433889711.0973525</v>
      </c>
      <c r="C15" s="35"/>
      <c r="D15" s="35" t="s">
        <v>65</v>
      </c>
    </row>
    <row r="16" spans="1:8" x14ac:dyDescent="0.25">
      <c r="B16" s="54"/>
    </row>
    <row r="17" spans="1:4" x14ac:dyDescent="0.25">
      <c r="A17" s="35" t="s">
        <v>193</v>
      </c>
      <c r="B17" s="56">
        <f>C8-B5</f>
        <v>101651869.74297321</v>
      </c>
      <c r="C17" s="57"/>
      <c r="D17" s="35" t="s">
        <v>65</v>
      </c>
    </row>
    <row r="18" spans="1:4" x14ac:dyDescent="0.25">
      <c r="A18" s="57" t="s">
        <v>194</v>
      </c>
      <c r="B18" s="56">
        <f>C9-SUM(B6:B10)</f>
        <v>1332237841.3543792</v>
      </c>
      <c r="C18" s="57"/>
      <c r="D18" s="35" t="s">
        <v>65</v>
      </c>
    </row>
  </sheetData>
  <pageMargins left="0.7" right="0.7" top="0.75" bottom="0.75" header="0.3" footer="0.3"/>
  <pageSetup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C5B878757C6144B104C5E4029E0BB6" ma:contentTypeVersion="21" ma:contentTypeDescription="Create a new document." ma:contentTypeScope="" ma:versionID="3b484faa78d0b3c124bddfe46d735584">
  <xsd:schema xmlns:xsd="http://www.w3.org/2001/XMLSchema" xmlns:xs="http://www.w3.org/2001/XMLSchema" xmlns:p="http://schemas.microsoft.com/office/2006/metadata/properties" xmlns:ns1="http://schemas.microsoft.com/sharepoint/v3" xmlns:ns3="0b01a07b-8d13-4cb5-9d22-64822278069e" xmlns:ns4="198a9f0d-948e-4f5a-af70-f6d2f30972cd" targetNamespace="http://schemas.microsoft.com/office/2006/metadata/properties" ma:root="true" ma:fieldsID="a50d0e42f68af8ba02cc8040f303922a" ns1:_="" ns3:_="" ns4:_="">
    <xsd:import namespace="http://schemas.microsoft.com/sharepoint/v3"/>
    <xsd:import namespace="0b01a07b-8d13-4cb5-9d22-64822278069e"/>
    <xsd:import namespace="198a9f0d-948e-4f5a-af70-f6d2f30972c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EventHashCode" minOccurs="0"/>
                <xsd:element ref="ns3:MediaServiceGenerationTime" minOccurs="0"/>
                <xsd:element ref="ns1:_ip_UnifiedCompliancePolicyProperties" minOccurs="0"/>
                <xsd:element ref="ns1:_ip_UnifiedCompliancePolicyUIAc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01a07b-8d13-4cb5-9d22-6482227806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_activity" ma:index="24" nillable="true" ma:displayName="_activity" ma:hidden="true" ma:internalName="_activity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6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8a9f0d-948e-4f5a-af70-f6d2f30972c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0b01a07b-8d13-4cb5-9d22-64822278069e" xsi:nil="true"/>
  </documentManagement>
</p:properties>
</file>

<file path=customXml/itemProps1.xml><?xml version="1.0" encoding="utf-8"?>
<ds:datastoreItem xmlns:ds="http://schemas.openxmlformats.org/officeDocument/2006/customXml" ds:itemID="{42B4EB57-6E22-4F57-A598-C26804BE14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b01a07b-8d13-4cb5-9d22-64822278069e"/>
    <ds:schemaRef ds:uri="198a9f0d-948e-4f5a-af70-f6d2f30972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FE45CAB-DB61-433B-BD54-467317A2EA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D717117-6041-4E27-9261-26697063CD60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198a9f0d-948e-4f5a-af70-f6d2f30972cd"/>
    <ds:schemaRef ds:uri="http://schemas.openxmlformats.org/package/2006/metadata/core-properties"/>
    <ds:schemaRef ds:uri="http://www.w3.org/XML/1998/namespace"/>
    <ds:schemaRef ds:uri="http://purl.org/dc/elements/1.1/"/>
    <ds:schemaRef ds:uri="0b01a07b-8d13-4cb5-9d22-64822278069e"/>
    <ds:schemaRef ds:uri="http://schemas.microsoft.com/sharepoint/v3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MassFlow</vt:lpstr>
      <vt:lpstr>1.Collection&amp;Transportation</vt:lpstr>
      <vt:lpstr>2.MechanicalJuiceExtraction</vt:lpstr>
      <vt:lpstr>3.AD</vt:lpstr>
      <vt:lpstr>4.RNGupgrading</vt:lpstr>
      <vt:lpstr>5.PulpProduction</vt:lpstr>
      <vt:lpstr>6.RefrigerationStorage</vt:lpstr>
      <vt:lpstr>7.Digestate</vt:lpstr>
      <vt:lpstr>TotalEnergyDemand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Mike Zanotti</dc:creator>
  <cp:keywords/>
  <dc:description/>
  <cp:lastModifiedBy>Liao, Wei</cp:lastModifiedBy>
  <cp:revision/>
  <dcterms:created xsi:type="dcterms:W3CDTF">2013-12-28T17:19:35Z</dcterms:created>
  <dcterms:modified xsi:type="dcterms:W3CDTF">2025-07-20T16:57:39Z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0x010100C2C5B878757C6144B104C5E4029E0BB6</vt:lpwstr>
  </property>
</Properties>
</file>